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HzL" sheetId="1" r:id="rId1"/>
    <sheet name="WoG" sheetId="2" r:id="rId2"/>
    <sheet name="Konto" sheetId="3" r:id="rId3"/>
  </sheets>
  <definedNames>
    <definedName name="a">'WoG'!$E$5</definedName>
    <definedName name="a_1">'WoG'!$E$2</definedName>
    <definedName name="a_2">'WoG'!$F$2</definedName>
    <definedName name="a_3">'WoG'!$G$2</definedName>
    <definedName name="a_4">'WoG'!$H$2</definedName>
    <definedName name="a_5">'WoG'!$I$2</definedName>
    <definedName name="a_6">'WoG'!$J$2</definedName>
    <definedName name="a1">'WoG'!$E$2</definedName>
    <definedName name="a2">'WoG'!$F$2</definedName>
    <definedName name="a3">'WoG'!$G$2</definedName>
    <definedName name="a4">'WoG'!$H$2</definedName>
    <definedName name="a5">'WoG'!$I$2</definedName>
    <definedName name="a6">'WoG'!$J$2</definedName>
    <definedName name="ab_1">'WoG'!$R$7</definedName>
    <definedName name="ab_2">'WoG'!$S$7</definedName>
    <definedName name="ab_3">'WoG'!$T$7</definedName>
    <definedName name="ab_4">'WoG'!$U$7</definedName>
    <definedName name="ab_5">'WoG'!$V$7</definedName>
    <definedName name="ab_6">'WoG'!$W$7</definedName>
    <definedName name="ab1">'WoG'!$R$7</definedName>
    <definedName name="ab2">'WoG'!$S$7</definedName>
    <definedName name="ab3">'WoG'!$T$7</definedName>
    <definedName name="ab4">'WoG'!$U$7</definedName>
    <definedName name="ab5">'WoG'!$V$7</definedName>
    <definedName name="ab6">'WoG'!$W$7</definedName>
    <definedName name="ALU" localSheetId="2">#REF!</definedName>
    <definedName name="ALU">'HzL'!$D$12</definedName>
    <definedName name="Ausg_Mo">'HzL'!$D$27</definedName>
    <definedName name="Ausg_Wo">'HzL'!$C$27</definedName>
    <definedName name="b">'WoG'!$E$6</definedName>
    <definedName name="b_1">'WoG'!$E$3</definedName>
    <definedName name="B_11" localSheetId="2">#REF!</definedName>
    <definedName name="B_11">'HzL'!#REF!</definedName>
    <definedName name="B_14" localSheetId="2">#REF!</definedName>
    <definedName name="B_14">'HzL'!$E$6</definedName>
    <definedName name="B_16" localSheetId="2">#REF!</definedName>
    <definedName name="B_16">'HzL'!#REF!</definedName>
    <definedName name="B_18" localSheetId="2">#REF!</definedName>
    <definedName name="B_18">'HzL'!#REF!</definedName>
    <definedName name="b_2">'WoG'!$F$3</definedName>
    <definedName name="B_21" localSheetId="2">#REF!</definedName>
    <definedName name="B_21">'HzL'!$E$8</definedName>
    <definedName name="b_3">'WoG'!$G$3</definedName>
    <definedName name="B_4" localSheetId="2">#REF!</definedName>
    <definedName name="b_4" localSheetId="1">'WoG'!$H$3</definedName>
    <definedName name="B_4">'HzL'!#REF!</definedName>
    <definedName name="b_5">'WoG'!$I$3</definedName>
    <definedName name="b_6">'WoG'!$J$3</definedName>
    <definedName name="B_7" localSheetId="2">#REF!</definedName>
    <definedName name="B_7">'HzL'!$E$5</definedName>
    <definedName name="B_A" localSheetId="2">#REF!</definedName>
    <definedName name="B_A">'HzL'!$E$3</definedName>
    <definedName name="B_HV" localSheetId="2">#REF!</definedName>
    <definedName name="B_HV">'HzL'!$E$1</definedName>
    <definedName name="b1">'WoG'!$E$3</definedName>
    <definedName name="b2">'WoG'!$F$3</definedName>
    <definedName name="b3">'WoG'!$G$3</definedName>
    <definedName name="b4">'WoG'!$H$3</definedName>
    <definedName name="b5">'WoG'!$I$3</definedName>
    <definedName name="b6">'WoG'!$J$3</definedName>
    <definedName name="Beihilfe_Abzug" localSheetId="2">#REF!</definedName>
    <definedName name="Beihilfe_Abzug">'HzL'!#REF!</definedName>
    <definedName name="Beihilfe_Summe" localSheetId="2">#REF!</definedName>
    <definedName name="Beihilfe_Summe">'HzL'!#REF!</definedName>
    <definedName name="BekleidungSumme" localSheetId="2">#REF!</definedName>
    <definedName name="BekleidungSumme">'HzL'!#REF!</definedName>
    <definedName name="Beratungshilfe" localSheetId="2">#REF!</definedName>
    <definedName name="Beratungshilfe">'HzL'!$D$16</definedName>
    <definedName name="bj">'WoG'!$B$10</definedName>
    <definedName name="bj_1">'WoG'!$G$8</definedName>
    <definedName name="bj_2">'WoG'!$H$8</definedName>
    <definedName name="bj_3">'WoG'!$I$8</definedName>
    <definedName name="bj_4">'WoG'!$G$9</definedName>
    <definedName name="bj_5">'WoG'!$H$9</definedName>
    <definedName name="bj_6">'WoG'!$I$9</definedName>
    <definedName name="bj1">'WoG'!$G$8</definedName>
    <definedName name="bj2">'WoG'!$H$8</definedName>
    <definedName name="bj3">'WoG'!$I$8</definedName>
    <definedName name="bj4">'WoG'!$G$9</definedName>
    <definedName name="bj5">'WoG'!$H$9</definedName>
    <definedName name="bj6">'WoG'!$I$9</definedName>
    <definedName name="BSHG_79" localSheetId="2">#REF!</definedName>
    <definedName name="BSHG_79">'HzL'!$E$17</definedName>
    <definedName name="c">'WoG'!$E$7</definedName>
    <definedName name="c_1">'WoG'!$E$4</definedName>
    <definedName name="c_2">'WoG'!$F$4</definedName>
    <definedName name="c_3">'WoG'!$G$4</definedName>
    <definedName name="c_4">'WoG'!$H$4</definedName>
    <definedName name="c_5">'WoG'!$I$4</definedName>
    <definedName name="c_6">'WoG'!$J$4</definedName>
    <definedName name="c1">'WoG'!$E$4</definedName>
    <definedName name="c2">'WoG'!$F$4</definedName>
    <definedName name="c3">'WoG'!$G$4</definedName>
    <definedName name="c4">'WoG'!$H$4</definedName>
    <definedName name="c5">'WoG'!$I$4</definedName>
    <definedName name="c6">'WoG'!$J$4</definedName>
    <definedName name="e_10">'WoG'!$B$4</definedName>
    <definedName name="e_20">'WoG'!$B$3</definedName>
    <definedName name="e_30">'WoG'!$B$2</definedName>
    <definedName name="e_6">'WoG'!$B$5</definedName>
    <definedName name="e10">'WoG'!$B$4</definedName>
    <definedName name="e20">'WoG'!$B$3</definedName>
    <definedName name="e30">'WoG'!$B$2</definedName>
    <definedName name="e6">'WoG'!$B$5</definedName>
    <definedName name="EA" localSheetId="2">#REF!</definedName>
    <definedName name="EA">'HzL'!$B$3</definedName>
    <definedName name="EA_m" localSheetId="2">#REF!</definedName>
    <definedName name="EA_m">'HzL'!$F$3</definedName>
    <definedName name="Eink_Mo">'HzL'!$D$22</definedName>
    <definedName name="Eink_Wo">'HzL'!$C$22</definedName>
    <definedName name="Einkommen_m" localSheetId="2">#REF!</definedName>
    <definedName name="Einkommen_m">'HzL'!$F$12</definedName>
    <definedName name="EinkommenWoG">'WoG'!$B$13</definedName>
    <definedName name="EU" localSheetId="2">#REF!</definedName>
    <definedName name="EU">'HzL'!$B$2</definedName>
    <definedName name="f">'WoG'!$B$11</definedName>
    <definedName name="fb">'WoG'!$B$8</definedName>
    <definedName name="GEZ" localSheetId="2">#REF!</definedName>
    <definedName name="GEZ">'HzL'!$C$25</definedName>
    <definedName name="GEZ_Bedarf" localSheetId="2">#REF!</definedName>
    <definedName name="GEZ_Bedarf">'HzL'!$G$20</definedName>
    <definedName name="GEZ_Befreiung" localSheetId="2">#REF!</definedName>
    <definedName name="GEZ_Befreiung">'HzL'!$D$15</definedName>
    <definedName name="GEZ_Einkommen" localSheetId="2">#REF!</definedName>
    <definedName name="GEZ_Einkommen">'HzL'!$G$21</definedName>
    <definedName name="GEZ_jn" localSheetId="2">#REF!</definedName>
    <definedName name="GEZ_jn">'HzL'!$F$21</definedName>
    <definedName name="Heim" localSheetId="2">#REF!</definedName>
    <definedName name="Heim">'HzL'!$D$13</definedName>
    <definedName name="Heizung" localSheetId="2">#REF!</definedName>
    <definedName name="Heizung">'HzL'!$C$10</definedName>
    <definedName name="Heizung_m" localSheetId="2">#REF!</definedName>
    <definedName name="Heizung_m">'HzL'!$F$10</definedName>
    <definedName name="HV" localSheetId="2">#REF!</definedName>
    <definedName name="HV">'HzL'!$B$1</definedName>
    <definedName name="HV_m" localSheetId="2">#REF!</definedName>
    <definedName name="HV_m">'HzL'!$F$2</definedName>
    <definedName name="HzL" localSheetId="2">#REF!</definedName>
    <definedName name="HzL">'HzL'!$G$19</definedName>
    <definedName name="K_1" localSheetId="2">#REF!</definedName>
    <definedName name="K_1">'HzL'!$G$5</definedName>
    <definedName name="K_11" localSheetId="2">#REF!</definedName>
    <definedName name="K_11">'HzL'!#REF!</definedName>
    <definedName name="K_14" localSheetId="2">#REF!</definedName>
    <definedName name="K_14">'HzL'!$B$5</definedName>
    <definedName name="K_15" localSheetId="2">#REF!</definedName>
    <definedName name="K_15">'HzL'!$D$6</definedName>
    <definedName name="K_16" localSheetId="2">#REF!</definedName>
    <definedName name="K_16">'HzL'!$B$6</definedName>
    <definedName name="K_18" localSheetId="2">#REF!</definedName>
    <definedName name="K_18">'HzL'!$B$7</definedName>
    <definedName name="K_2" localSheetId="2">#REF!</definedName>
    <definedName name="K_2">'HzL'!$G$6</definedName>
    <definedName name="K_21" localSheetId="2">#REF!</definedName>
    <definedName name="K_21">'HzL'!$B$8</definedName>
    <definedName name="K_3" localSheetId="2">#REF!</definedName>
    <definedName name="K_3">'HzL'!$G$7</definedName>
    <definedName name="K_4" localSheetId="2">#REF!</definedName>
    <definedName name="K_4">'HzL'!#REF!</definedName>
    <definedName name="K_7" localSheetId="2">#REF!</definedName>
    <definedName name="K_7">'HzL'!$B$4</definedName>
    <definedName name="K_X">'HzL'!$F$1</definedName>
    <definedName name="K11_m" localSheetId="2">#REF!</definedName>
    <definedName name="K11_m">'HzL'!#REF!</definedName>
    <definedName name="K14_m" localSheetId="2">#REF!</definedName>
    <definedName name="K14_m">'HzL'!$F$5</definedName>
    <definedName name="K16_m" localSheetId="2">#REF!</definedName>
    <definedName name="K16_m">'HzL'!$F$6</definedName>
    <definedName name="K18_m" localSheetId="2">#REF!</definedName>
    <definedName name="K18_m">'HzL'!$F$7</definedName>
    <definedName name="K21_m" localSheetId="2">#REF!</definedName>
    <definedName name="K21_m">'HzL'!$F$8</definedName>
    <definedName name="K4_m" localSheetId="2">#REF!</definedName>
    <definedName name="K4_m">'HzL'!#REF!</definedName>
    <definedName name="K7_m" localSheetId="2">#REF!</definedName>
    <definedName name="K7_m">'HzL'!$F$4</definedName>
    <definedName name="Kaltmiete">'WoG'!$B$9</definedName>
    <definedName name="keinWoG" localSheetId="2">#REF!</definedName>
    <definedName name="keinWoG">'HzL'!$D$9</definedName>
    <definedName name="KG" localSheetId="2">#REF!</definedName>
    <definedName name="KG">'HzL'!$C$13</definedName>
    <definedName name="KG_3" localSheetId="2">#REF!</definedName>
    <definedName name="KG_3">'HzL'!$G$8</definedName>
    <definedName name="KG_4" localSheetId="2">#REF!</definedName>
    <definedName name="KG_4">'HzL'!$G$9</definedName>
    <definedName name="KG_m" localSheetId="2">#REF!</definedName>
    <definedName name="KG_m">'HzL'!$F$13</definedName>
    <definedName name="Kuerzung" localSheetId="2">#REF!</definedName>
    <definedName name="Kuerzung">'HzL'!$D$10</definedName>
    <definedName name="Lohn" localSheetId="2">#REF!</definedName>
    <definedName name="Lohn">'HzL'!$C$11</definedName>
    <definedName name="Lohn_m" localSheetId="2">#REF!</definedName>
    <definedName name="Lohn_m">'HzL'!$F$11</definedName>
    <definedName name="M">'WoG'!$F$8</definedName>
    <definedName name="mb_1">'WoG'!$R$8</definedName>
    <definedName name="MB_15" localSheetId="2">#REF!</definedName>
    <definedName name="MB_15">'HzL'!$G$1</definedName>
    <definedName name="mb_2">'WoG'!$S$8</definedName>
    <definedName name="MB_25" localSheetId="2">#REF!</definedName>
    <definedName name="MB_25">'HzL'!$G$2</definedName>
    <definedName name="mb_3">'WoG'!$T$8</definedName>
    <definedName name="mb_4">'WoG'!$U$8</definedName>
    <definedName name="mb_5">'WoG'!$V$8</definedName>
    <definedName name="mb_6">'WoG'!$W$8</definedName>
    <definedName name="MB_A" localSheetId="2">#REF!</definedName>
    <definedName name="MB_A">'HzL'!$D$3</definedName>
    <definedName name="MB_Erg" localSheetId="2">#REF!</definedName>
    <definedName name="MB_Erg">'HzL'!$G$4</definedName>
    <definedName name="MB_EU" localSheetId="2">#REF!</definedName>
    <definedName name="MB_EU">'HzL'!$D$2</definedName>
    <definedName name="MB_K" localSheetId="2">#REF!</definedName>
    <definedName name="MB_K">'HzL'!$D$1</definedName>
    <definedName name="MB_Lohn" localSheetId="2">#REF!</definedName>
    <definedName name="MB_Lohn">'HzL'!$D$11</definedName>
    <definedName name="MB_Max" localSheetId="2">#REF!</definedName>
    <definedName name="MB_Max">'HzL'!$G$3</definedName>
    <definedName name="MB_Pausch" localSheetId="2">#REF!</definedName>
    <definedName name="MB_Pausch">'HzL'!$E$11</definedName>
    <definedName name="MB_Summe" localSheetId="2">#REF!</definedName>
    <definedName name="MB_Summe">'HzL'!$G$11</definedName>
    <definedName name="mb1">'WoG'!$R$8</definedName>
    <definedName name="mb2">'WoG'!$S$8</definedName>
    <definedName name="mb3">'WoG'!$T$8</definedName>
    <definedName name="mb4">'WoG'!$U$8</definedName>
    <definedName name="mb5">'WoG'!$V$8</definedName>
    <definedName name="mb6">'WoG'!$W$8</definedName>
    <definedName name="Miete" localSheetId="2">#REF!</definedName>
    <definedName name="Miete">'HzL'!$C$9</definedName>
    <definedName name="Miete_m" localSheetId="2">#REF!</definedName>
    <definedName name="Miete_m">'HzL'!$F$9</definedName>
    <definedName name="nb_1">'WoG'!$R$9</definedName>
    <definedName name="nb_2">'WoG'!$S$9</definedName>
    <definedName name="nb_3">'WoG'!$T$9</definedName>
    <definedName name="nb_4">'WoG'!$U$9</definedName>
    <definedName name="nb_5">'WoG'!$V$9</definedName>
    <definedName name="nb_6">'WoG'!$W$9</definedName>
    <definedName name="nb1">'WoG'!$R$9</definedName>
    <definedName name="nb2">'WoG'!$S$9</definedName>
    <definedName name="nb3">'WoG'!$T$9</definedName>
    <definedName name="nb4">'WoG'!$U$9</definedName>
    <definedName name="nb5">'WoG'!$V$9</definedName>
    <definedName name="nb6">'WoG'!$W$9</definedName>
    <definedName name="Pf_5Kinder" localSheetId="2">#REF!</definedName>
    <definedName name="Pf_5Kinder">'HzL'!$F$17</definedName>
    <definedName name="Pf_Diff" localSheetId="2">#REF!</definedName>
    <definedName name="Pf_Diff">'HzL'!#REF!</definedName>
    <definedName name="Pf_Faktor" localSheetId="2">#REF!</definedName>
    <definedName name="Pf_Faktor">'HzL'!$F$20</definedName>
    <definedName name="Pf_Min" localSheetId="2">#REF!</definedName>
    <definedName name="Pf_Min">'HzL'!$F$18</definedName>
    <definedName name="Pf_Summe" localSheetId="2">#REF!</definedName>
    <definedName name="Pf_Summe">'HzL'!$F$19</definedName>
    <definedName name="PKH_03h" localSheetId="2">#REF!</definedName>
    <definedName name="PKH_03h">'HzL'!$F$16</definedName>
    <definedName name="PKH_10h" localSheetId="2">#REF!</definedName>
    <definedName name="PKH_10h">'HzL'!$F$15</definedName>
    <definedName name="PKH_15" localSheetId="2">#REF!</definedName>
    <definedName name="PKH_15">'HzL'!$G$13</definedName>
    <definedName name="PKH_15h" localSheetId="2">#REF!</definedName>
    <definedName name="PKH_15h">'HzL'!$F$14</definedName>
    <definedName name="PKH_25" localSheetId="2">#REF!</definedName>
    <definedName name="PKH_25">'HzL'!$G$14</definedName>
    <definedName name="PKH_erg" localSheetId="2">#REF!</definedName>
    <definedName name="PKH_erg">'HzL'!$G$16</definedName>
    <definedName name="PKH_max" localSheetId="2">#REF!</definedName>
    <definedName name="PKH_max">'HzL'!$G$15</definedName>
    <definedName name="PKH_mbE" localSheetId="2">#REF!</definedName>
    <definedName name="PKH_mbE">'HzL'!$G$17</definedName>
    <definedName name="PKH_Raten" localSheetId="2">#REF!</definedName>
    <definedName name="PKH_Raten">'HzL'!$D$17</definedName>
    <definedName name="PKH_sum" localSheetId="2">#REF!</definedName>
    <definedName name="PKH_sum">'HzL'!$G$18</definedName>
    <definedName name="Raten">'HzL'!$D$26</definedName>
    <definedName name="Raten_Wo">'HzL'!$C$26</definedName>
    <definedName name="Rente" localSheetId="2">#REF!</definedName>
    <definedName name="Rente">'HzL'!$C$12</definedName>
    <definedName name="RS" localSheetId="2">#REF!</definedName>
    <definedName name="RS">'HzL'!$C$1</definedName>
    <definedName name="RS_11" localSheetId="2">#REF!</definedName>
    <definedName name="RS_11">'HzL'!#REF!</definedName>
    <definedName name="RS_14" localSheetId="2">#REF!</definedName>
    <definedName name="RS_14">'HzL'!$C$5</definedName>
    <definedName name="RS_16" localSheetId="2">#REF!</definedName>
    <definedName name="RS_16">'HzL'!$C$6</definedName>
    <definedName name="RS_18" localSheetId="2">#REF!</definedName>
    <definedName name="RS_18">'HzL'!$C$7</definedName>
    <definedName name="RS_21" localSheetId="2">#REF!</definedName>
    <definedName name="RS_21">'HzL'!$C$8</definedName>
    <definedName name="RS_4" localSheetId="2">#REF!</definedName>
    <definedName name="RS_4">'HzL'!#REF!</definedName>
    <definedName name="RS_7" localSheetId="2">#REF!</definedName>
    <definedName name="RS_7">'HzL'!$C$4</definedName>
    <definedName name="RS_DM" localSheetId="2">#REF!</definedName>
    <definedName name="RS_DM">'HzL'!$F$1</definedName>
    <definedName name="RS_E" localSheetId="2">#REF!</definedName>
    <definedName name="RS_E">'HzL'!$C$3</definedName>
    <definedName name="RS_Summe" localSheetId="2">#REF!</definedName>
    <definedName name="RS_Summe">'HzL'!$G$10</definedName>
    <definedName name="RSm_Summe" localSheetId="2">#REF!</definedName>
    <definedName name="RSm_Summe">'HzL'!$G$12</definedName>
    <definedName name="sb">'WoG'!$D$7</definedName>
    <definedName name="Sozialhilfe" localSheetId="2">#REF!</definedName>
    <definedName name="Sozialhilfe">'HzL'!$C$14</definedName>
    <definedName name="Strom">'HzL'!$D$24</definedName>
    <definedName name="StromGas_Wo">'HzL'!$C$24</definedName>
    <definedName name="Stufe">'WoG'!$C$1</definedName>
    <definedName name="Telefon">'HzL'!$D$25</definedName>
    <definedName name="Warmmiete_Wo">'HzL'!$C$23</definedName>
    <definedName name="wk">'WoG'!$B$6</definedName>
    <definedName name="wk_10">'WoG'!$I$6</definedName>
    <definedName name="wk_20">'WoG'!$H$6</definedName>
    <definedName name="wk_30">'WoG'!$G$6</definedName>
    <definedName name="wk_6">'WoG'!$J$6</definedName>
    <definedName name="wk_i">'WoG'!$B$6</definedName>
    <definedName name="wk_p">'WoG'!$D$6</definedName>
    <definedName name="wk_s">'WoG'!$F$6</definedName>
    <definedName name="Wohngeld">'WoG'!$B$14</definedName>
    <definedName name="x">'WoG'!$C$13</definedName>
    <definedName name="Y">'WoG'!$F$9</definedName>
    <definedName name="ZPO_850c" localSheetId="2">#REF!</definedName>
    <definedName name="ZPO_850c">'HzL'!$D$18</definedName>
    <definedName name="ZPO_850f" localSheetId="2">#REF!</definedName>
    <definedName name="ZPO_850f">'HzL'!$D$19</definedName>
  </definedNames>
  <calcPr fullCalcOnLoad="1"/>
</workbook>
</file>

<file path=xl/comments1.xml><?xml version="1.0" encoding="utf-8"?>
<comments xmlns="http://schemas.openxmlformats.org/spreadsheetml/2006/main">
  <authors>
    <author>Ingo Turski</author>
  </authors>
  <commentList>
    <comment ref="F13" authorId="0">
      <text>
        <r>
          <rPr>
            <b/>
            <sz val="8"/>
            <rFont val="Tahoma"/>
            <family val="0"/>
          </rPr>
          <t>Freibeträge der
Kindergelderhöhung von
DM 20,- bzw. DM 40,-
bis (vorerst) 30.06.2003</t>
        </r>
      </text>
    </comment>
  </commentList>
</comments>
</file>

<file path=xl/comments2.xml><?xml version="1.0" encoding="utf-8"?>
<comments xmlns="http://schemas.openxmlformats.org/spreadsheetml/2006/main">
  <authors>
    <author>Ingo Turski</author>
    <author>Turski</author>
  </authors>
  <commentList>
    <comment ref="B2" authorId="0">
      <text>
        <r>
          <rPr>
            <b/>
            <sz val="8"/>
            <rFont val="Tahoma"/>
            <family val="0"/>
          </rPr>
          <t>Bruttoeinkommen mit
Steuern und Kranken-
und Rentenversicherung</t>
        </r>
      </text>
    </comment>
    <comment ref="C1" authorId="0">
      <text>
        <r>
          <rPr>
            <b/>
            <sz val="8"/>
            <rFont val="Tahoma"/>
            <family val="0"/>
          </rPr>
          <t xml:space="preserve">Mietenstufe
der Gemeinde (1 bis 6)
</t>
        </r>
      </text>
    </comment>
    <comment ref="B3" authorId="0">
      <text>
        <r>
          <rPr>
            <b/>
            <sz val="8"/>
            <rFont val="Tahoma"/>
            <family val="0"/>
          </rPr>
          <t>Bruttoeinkommen mit
Kranken- und
Rentenversicherung
oder Steuern und einer
der Versicherungsarten</t>
        </r>
      </text>
    </comment>
    <comment ref="B4" authorId="0">
      <text>
        <r>
          <rPr>
            <b/>
            <sz val="8"/>
            <rFont val="Tahoma"/>
            <family val="0"/>
          </rPr>
          <t>Bruttoeinkommen mit
Steuern
oder Kranken- oder
Rentenversicherung</t>
        </r>
      </text>
    </comment>
    <comment ref="B5" authorId="0">
      <text>
        <r>
          <rPr>
            <b/>
            <sz val="8"/>
            <rFont val="Tahoma"/>
            <family val="0"/>
          </rPr>
          <t>Bruttoeinkommen
ohne Abzüge</t>
        </r>
      </text>
    </comment>
    <comment ref="B6" authorId="0">
      <text>
        <r>
          <rPr>
            <b/>
            <sz val="8"/>
            <rFont val="Tahoma"/>
            <family val="0"/>
          </rPr>
          <t>Werbungskosten außer
den Jahrespauschalen
von € 1044,- für Löhne
und € 102,- für Renten;
 ggfls. € 4,25 für Zinsen</t>
        </r>
      </text>
    </comment>
    <comment ref="B7" authorId="0">
      <text>
        <r>
          <rPr>
            <b/>
            <sz val="8"/>
            <rFont val="Tahoma"/>
            <family val="0"/>
          </rPr>
          <t>Anzahl der min. 100%
schwerbehinderten oder
80% schwerbehindert
und pflegebedürftigen
Haushaltsangehörigen</t>
        </r>
      </text>
    </comment>
    <comment ref="B8" authorId="0">
      <text>
        <r>
          <rPr>
            <b/>
            <sz val="8"/>
            <rFont val="Tahoma"/>
            <family val="0"/>
          </rPr>
          <t>Freibetrag von € 51,-
für 16-25jährige Kinder
mit eigenem
Einkommen sowie
Unterhaltszahlungen</t>
        </r>
      </text>
    </comment>
    <comment ref="B9" authorId="0">
      <text>
        <r>
          <rPr>
            <b/>
            <sz val="8"/>
            <rFont val="Tahoma"/>
            <family val="0"/>
          </rPr>
          <t>Kaltmiete mit
Betriebskosten ohne
Heizkosten und ohne
Zuschläge z.B. für
Möblierung</t>
        </r>
      </text>
    </comment>
    <comment ref="B10" authorId="0">
      <text>
        <r>
          <rPr>
            <b/>
            <sz val="8"/>
            <rFont val="Tahoma"/>
            <family val="0"/>
          </rPr>
          <t>Baujahr der Wohnung:
0 = bis 1965 ohne Bad...
1 = bis 1965
2 = 1966 bis 1991
3 = ab 1992</t>
        </r>
      </text>
    </comment>
    <comment ref="B11" authorId="0">
      <text>
        <r>
          <rPr>
            <b/>
            <sz val="8"/>
            <rFont val="Tahoma"/>
            <family val="0"/>
          </rPr>
          <t>Anzahl
der Familienmitglieder</t>
        </r>
      </text>
    </comment>
    <comment ref="D14" authorId="1">
      <text>
        <r>
          <rPr>
            <b/>
            <sz val="8"/>
            <rFont val="Tahoma"/>
            <family val="0"/>
          </rPr>
          <t>Wohngeld unter € 10 wird nicht ausgezahlt (lfd. Praxis, nicht im Gesetz gefunden !)</t>
        </r>
      </text>
    </comment>
  </commentList>
</comments>
</file>

<file path=xl/sharedStrings.xml><?xml version="1.0" encoding="utf-8"?>
<sst xmlns="http://schemas.openxmlformats.org/spreadsheetml/2006/main" count="182" uniqueCount="127">
  <si>
    <t>Haus.Vorst.:</t>
  </si>
  <si>
    <t>12/65/eu\vL</t>
  </si>
  <si>
    <t>&lt;- 1/2/3\4</t>
  </si>
  <si>
    <t>1-3= Mehrbedarf wg. Schwangerschaft/Alter/EU, 4=vermind. Leistungsv.</t>
  </si>
  <si>
    <t>Erw.Angeh.:</t>
  </si>
  <si>
    <t>Ki. unter  7:</t>
  </si>
  <si>
    <t>Ki. unter 14:</t>
  </si>
  <si>
    <t>Ki. unter 16:</t>
  </si>
  <si>
    <t>Ingo Turski</t>
  </si>
  <si>
    <t>www.1ngo.de</t>
  </si>
  <si>
    <t>Ki. unter 18:</t>
  </si>
  <si>
    <t>=</t>
  </si>
  <si>
    <t>Heizung</t>
  </si>
  <si>
    <t>Lohn</t>
  </si>
  <si>
    <t>sonst. Eink.</t>
  </si>
  <si>
    <t>Kindergeld</t>
  </si>
  <si>
    <t>Sozialhilfe</t>
  </si>
  <si>
    <t>GEZ-Befreiung =</t>
  </si>
  <si>
    <t>Beratungshilfe =</t>
  </si>
  <si>
    <t>Prozeßkostenhilfe-Raten  =</t>
  </si>
  <si>
    <t>pfändbar nach §850c ZPO=</t>
  </si>
  <si>
    <t>pfändbar nach §850f ZPO=</t>
  </si>
  <si>
    <t>Haushaltsplan</t>
  </si>
  <si>
    <t>Woche</t>
  </si>
  <si>
    <t>Monat</t>
  </si>
  <si>
    <t>HAUSHALTSPLANUNG</t>
  </si>
  <si>
    <t>Einkommen</t>
  </si>
  <si>
    <t>:</t>
  </si>
  <si>
    <t>Einkünfte aus obiger Sozialhilfeberechnung</t>
  </si>
  <si>
    <t>sonstige Einkünfte</t>
  </si>
  <si>
    <t>Warmmiete</t>
  </si>
  <si>
    <t>Strom / Gas</t>
  </si>
  <si>
    <t>Strom, Gas und sonstige Wohnungsfestkosten</t>
  </si>
  <si>
    <t>GEZ/Telefon</t>
  </si>
  <si>
    <t>Raten</t>
  </si>
  <si>
    <t>Ratenzahlungen, Versicherungen und sonstige planbare Ausgaben</t>
  </si>
  <si>
    <t>sonst. Ausg.</t>
  </si>
  <si>
    <t>Kleinkram' wie Kontoführungsgebühren nicht vergessen</t>
  </si>
  <si>
    <t>Differenz</t>
  </si>
  <si>
    <t>Berechnung</t>
  </si>
  <si>
    <t>§79,1+2 BSHG</t>
  </si>
  <si>
    <t>&lt;-Kinder i.Heim</t>
  </si>
  <si>
    <t>&lt;-wöchentlich</t>
  </si>
  <si>
    <t>&lt;-Kürz.|-Arb.M.</t>
  </si>
  <si>
    <t>Wohngeld</t>
  </si>
  <si>
    <t>Stufe:</t>
  </si>
  <si>
    <t>(Kreis Daun)</t>
  </si>
  <si>
    <t>(Schiffdorf)</t>
  </si>
  <si>
    <t>(Essen)</t>
  </si>
  <si>
    <t>(Krefeld)</t>
  </si>
  <si>
    <t>(Düsseldorf)</t>
  </si>
  <si>
    <t>(Frankfurt)</t>
  </si>
  <si>
    <t>30% Lohn:</t>
  </si>
  <si>
    <t>20% St.frei:</t>
  </si>
  <si>
    <t>©</t>
  </si>
  <si>
    <t>10% Rente:</t>
  </si>
  <si>
    <t xml:space="preserve">  6% ALU :</t>
  </si>
  <si>
    <t>Werb.kost:</t>
  </si>
  <si>
    <t>+</t>
  </si>
  <si>
    <t>schw.beh.?</t>
  </si>
  <si>
    <t>Freibetrag:</t>
  </si>
  <si>
    <t>Miete o.HK:</t>
  </si>
  <si>
    <t>Bauj. (0-3):</t>
  </si>
  <si>
    <t>Fam.mitgl:</t>
  </si>
  <si>
    <t>Ber. Miete=</t>
  </si>
  <si>
    <t>Einkomm.=</t>
  </si>
  <si>
    <t>Wohngeld=</t>
  </si>
  <si>
    <t>Blatt:</t>
  </si>
  <si>
    <t>Name, Vorname / Konto Nr.</t>
  </si>
  <si>
    <t>Nr.</t>
  </si>
  <si>
    <t>Datum</t>
  </si>
  <si>
    <t>ok</t>
  </si>
  <si>
    <t>Buchungstext</t>
  </si>
  <si>
    <t>Soll</t>
  </si>
  <si>
    <t>Haben</t>
  </si>
  <si>
    <t>Saldo</t>
  </si>
  <si>
    <t>*</t>
  </si>
  <si>
    <t>Übertrag Blatt 1</t>
  </si>
  <si>
    <t>Übertrag Blatt 2</t>
  </si>
  <si>
    <t>Übertrag Blatt 3</t>
  </si>
  <si>
    <t>Übertrag Blatt 4</t>
  </si>
  <si>
    <t>Übertrag</t>
  </si>
  <si>
    <t>Miete (+BK)</t>
  </si>
  <si>
    <t>Sp.C = Eckregelsatz, Sp.D = Mehrbedarf alleinerziehend</t>
  </si>
  <si>
    <t>Sp.B: erwachsene Mitbewohner, Sp.C = Regelsatz, Sp.D = Mehrbedarf</t>
  </si>
  <si>
    <t>Sp.B: Kinder 0-6 Jahre, Sp.C = Regelsätze</t>
  </si>
  <si>
    <t>Sp.B: Kinder 7-13 Jahre, Sp.C = Regelsätze</t>
  </si>
  <si>
    <t>Sp.B: Kinder 14-15 Jahre, Sp.C = Regelsätze</t>
  </si>
  <si>
    <t>Sp.B: Kinder 16-17 Jahre mit Kindergeldanspruch, Sp.C = Regelsätze</t>
  </si>
  <si>
    <t>Sp.C: Heizung, Sp.D: Prozent Regelsatzkürzung</t>
  </si>
  <si>
    <t>Sp.C: Monatslohn, Sp.D = Freibetrag, Sp.E: Arbeitsmittel (Pauschale 5,20)</t>
  </si>
  <si>
    <t>Sp.C: monatl. (z.B.Rente), Sp.D: wöchentl. (z.B.ALU)</t>
  </si>
  <si>
    <t>Sp.D: sonst unberücksichtigte im Heim lebende Kinder</t>
  </si>
  <si>
    <t>Sp.D = GEZ-Befreiung (Ja/Nein)</t>
  </si>
  <si>
    <t>Sp.D = Kostenlose Rechtsberatung - Ja(?) bei angemess.Telefon u. Raten</t>
  </si>
  <si>
    <t>Sp.D = ggfls. Ratenhöhe bei Rückzahlung, Sp.E: Betrag §79 Abs.1+2 BSHG</t>
  </si>
  <si>
    <t>Sp.D = pfändbar nach Tabelle</t>
  </si>
  <si>
    <t>Sp.D = Betrag nach individueller Anpassung der Pfändungsfreigrenze</t>
  </si>
  <si>
    <t>Sp.E = GEZ (wöchentl.) sofern keine Befreiung, löschen falls kein TV</t>
  </si>
  <si>
    <t>Differenz Sp.C = wöchentlich, Sp.D=monatlich, Sp.E=täglich</t>
  </si>
  <si>
    <t>Sp.D = Warmmiete abzgl. WoG (aus Sozialhilfe- und WoG-Berechnung)</t>
  </si>
  <si>
    <t>Einkünfte</t>
  </si>
  <si>
    <t>Lohn / Arbeitseinkommen</t>
  </si>
  <si>
    <t>Rente / sonstige Einkommen</t>
  </si>
  <si>
    <t>Arbeitslosenunterstützung mtl.</t>
  </si>
  <si>
    <t>sonstige monatliche Einkünfte</t>
  </si>
  <si>
    <t>Ausgaben</t>
  </si>
  <si>
    <t>Miete incl. Betriebskosten</t>
  </si>
  <si>
    <t>Strom</t>
  </si>
  <si>
    <t>Telefon</t>
  </si>
  <si>
    <t>GEZ mtl.</t>
  </si>
  <si>
    <t>Monatsraten</t>
  </si>
  <si>
    <t>sonstige monatliche Ausgaben</t>
  </si>
  <si>
    <t>sonst.wöchentliche Ausgaben mtl.</t>
  </si>
  <si>
    <t>sonst. wöchentliche Einkünfte mtl.</t>
  </si>
  <si>
    <t>sonst.wöchentl.(Miet-)kosten mtl.</t>
  </si>
  <si>
    <t>sonstige wöchentl. Kosten mtl.</t>
  </si>
  <si>
    <t>wöchentliche Raten mtl.</t>
  </si>
  <si>
    <t>Sp.C: Kaltmiete mit Betriebsk., Sp.D: hiervon bei Sozialhilfe abgezogen</t>
  </si>
  <si>
    <t>&lt;-Abzug in HzL</t>
  </si>
  <si>
    <t>01.07.</t>
  </si>
  <si>
    <t>Kind. ab 18:</t>
  </si>
  <si>
    <t>Sp.B: volljährige Kinder mit Kindergeldanspruch, Sp.C = Regelsätze</t>
  </si>
  <si>
    <t>Ergebnis:</t>
  </si>
  <si>
    <t>&lt;-Grundsicher.</t>
  </si>
  <si>
    <t>Sp.C = Sozialhilfeanspruch, Sp.D = evtl. Grundsicherungsanspruch</t>
  </si>
  <si>
    <t>(c) 2003</t>
  </si>
</sst>
</file>

<file path=xl/styles.xml><?xml version="1.0" encoding="utf-8"?>
<styleSheet xmlns="http://schemas.openxmlformats.org/spreadsheetml/2006/main">
  <numFmts count="1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0.00_);\(0.00\)"/>
    <numFmt numFmtId="189" formatCode="0_);\(0\)"/>
    <numFmt numFmtId="190" formatCode="m/d"/>
    <numFmt numFmtId="191" formatCode="mm/dd/yy"/>
    <numFmt numFmtId="192" formatCode="dd\-mmm\-yy"/>
    <numFmt numFmtId="193" formatCode="mmmm\-yy"/>
    <numFmt numFmtId="194" formatCode="mmmm\ d\,\ yyyy"/>
    <numFmt numFmtId="195" formatCode="m/d/yy\ h:mm\ AM/PM"/>
    <numFmt numFmtId="196" formatCode="#\ ???/???"/>
    <numFmt numFmtId="197" formatCode="0.E+00"/>
    <numFmt numFmtId="198" formatCode="yyyy/m/d\ h:mm\ AM/PM"/>
    <numFmt numFmtId="199" formatCode="yy\-mm\-dd"/>
    <numFmt numFmtId="200" formatCode="d\.m"/>
    <numFmt numFmtId="201" formatCode="d\.m\.yy"/>
    <numFmt numFmtId="202" formatCode="d\.\ mmm"/>
    <numFmt numFmtId="203" formatCode="d\.\ mmm\ yy"/>
    <numFmt numFmtId="204" formatCode="mmmm\ yy"/>
    <numFmt numFmtId="205" formatCode="d\.\ mmmm\ yyyy"/>
    <numFmt numFmtId="206" formatCode="d\.m\.yy\ h:mm\ AM/PM"/>
    <numFmt numFmtId="207" formatCode="d\.m\.yy\ h:mm"/>
    <numFmt numFmtId="208" formatCode="dd\ mm\ yy"/>
    <numFmt numFmtId="209" formatCode="d/m"/>
    <numFmt numFmtId="210" formatCode="d/m/yy"/>
    <numFmt numFmtId="211" formatCode="d\ mmmm\ yyyy"/>
    <numFmt numFmtId="212" formatCode="d/m/yy\ h:mm\ AM/PM"/>
    <numFmt numFmtId="213" formatCode="d/m/yy\ h:mm"/>
    <numFmt numFmtId="214" formatCode="d\ \d\e\ mmmm\ \d\e\ yyyy"/>
    <numFmt numFmtId="215" formatCode="&quot;$&quot;#,##0.00"/>
    <numFmt numFmtId="216" formatCode="&quot;$&quot;#,##0"/>
    <numFmt numFmtId="217" formatCode="yyyy/m/d"/>
    <numFmt numFmtId="218" formatCode="yyyy/m"/>
    <numFmt numFmtId="219" formatCode="dddd"/>
    <numFmt numFmtId="220" formatCode="ddd"/>
    <numFmt numFmtId="221" formatCode="AM/PM\ h:mm"/>
    <numFmt numFmtId="222" formatCode="AM/PM\ h:mm:ss"/>
    <numFmt numFmtId="223" formatCode="h:mm"/>
    <numFmt numFmtId="224" formatCode="yy/m/d"/>
    <numFmt numFmtId="225" formatCode="yy&quot;-&quot;m&quot;-&quot;d\ h:mm\ AM/PM"/>
    <numFmt numFmtId="226" formatCode="yy&quot;-&quot;m&quot;-&quot;d\ h:mm"/>
    <numFmt numFmtId="227" formatCode="yy&quot;/&quot;m&quot;/&quot;d"/>
    <numFmt numFmtId="228" formatCode="yyyy&quot;-&quot;m&quot;-&quot;d"/>
    <numFmt numFmtId="229" formatCode="m&quot;/&quot;d\ &quot;/&quot;yy"/>
    <numFmt numFmtId="230" formatCode="mm&quot;/&quot;dd\ &quot;/&quot;yy"/>
    <numFmt numFmtId="231" formatCode="d&quot;-&quot;mmm"/>
    <numFmt numFmtId="232" formatCode="d&quot;-&quot;mmm&quot;-&quot;yy"/>
    <numFmt numFmtId="233" formatCode="dd&quot;-&quot;mmm&quot;-&quot;yy"/>
    <numFmt numFmtId="234" formatCode="mmm&quot;-&quot;yy"/>
    <numFmt numFmtId="235" formatCode="mmmm&quot;-&quot;yy"/>
    <numFmt numFmtId="236" formatCode="d\-m"/>
    <numFmt numFmtId="237" formatCode="d\-mm\-yy"/>
    <numFmt numFmtId="238" formatCode="d\-mm\-yy\ h:mm\ AM/PM"/>
    <numFmt numFmtId="239" formatCode="d\-mm\-yy\ h:mm"/>
    <numFmt numFmtId="240" formatCode="yyyy\-mm\-dd"/>
    <numFmt numFmtId="241" formatCode="yyyy\.mm\.dd"/>
    <numFmt numFmtId="242" formatCode="mmmm\ yyyy"/>
    <numFmt numFmtId="243" formatCode="d/m\ yyyy"/>
    <numFmt numFmtId="244" formatCode="dd\-mm\-yy\ hh:mm:ss"/>
    <numFmt numFmtId="245" formatCode="yyyy\-mm\-dd\ hh:m"/>
    <numFmt numFmtId="246" formatCode="yyyy\-mm\-dd\ hh:mm:ss"/>
    <numFmt numFmtId="247" formatCode="dd\.mm\.yyyy"/>
    <numFmt numFmtId="248" formatCode="d\.m\.yyyy"/>
    <numFmt numFmtId="249" formatCode="dd/mm\ yyyy"/>
    <numFmt numFmtId="250" formatCode="dd/mm\ yy"/>
    <numFmt numFmtId="251" formatCode="d/m\ yy"/>
    <numFmt numFmtId="252" formatCode="dd/mm"/>
    <numFmt numFmtId="253" formatCode="dd/mm/yyyy\ h:mm\ AM/PM"/>
    <numFmt numFmtId="254" formatCode="yy\-mm\-dd\ hh:mm"/>
    <numFmt numFmtId="255" formatCode="d/m\ \-yy"/>
    <numFmt numFmtId="256" formatCode="&quot;den &quot;\ d\ mmmm\ yyyy"/>
    <numFmt numFmtId="257" formatCode="d\ mmmm\ \-yy"/>
    <numFmt numFmtId="258" formatCode="d\ mmm\-yy"/>
    <numFmt numFmtId="259" formatCode="d\ mmmm"/>
    <numFmt numFmtId="260" formatCode="d\ mmm"/>
    <numFmt numFmtId="261" formatCode="mmmm\ \-yy"/>
    <numFmt numFmtId="262" formatCode="yyyy"/>
    <numFmt numFmtId="263" formatCode="mmmm"/>
    <numFmt numFmtId="264" formatCode="&quot;kl &quot;hh:mm"/>
    <numFmt numFmtId="265" formatCode="&quot;kl &quot;hh:mm:ss"/>
    <numFmt numFmtId="266" formatCode="d/m/yyyy"/>
    <numFmt numFmtId="267" formatCode="d\.\ mmmm\t\a\ yyyy"/>
    <numFmt numFmtId="268" formatCode="d/m\."/>
    <numFmt numFmtId="269" formatCode="d\-mmm\."/>
    <numFmt numFmtId="270" formatCode="d/mmm/yy"/>
    <numFmt numFmtId="271" formatCode="d\.mmmm\ yyyy"/>
    <numFmt numFmtId="272" formatCode="d/\ m\."/>
    <numFmt numFmtId="273" formatCode="d/\ m/\ yy"/>
    <numFmt numFmtId="274" formatCode="d/\ mmm\."/>
    <numFmt numFmtId="275" formatCode="d/\ mmm/\ yy"/>
    <numFmt numFmtId="276" formatCode="d/\ mmmm\,\ yyyy"/>
    <numFmt numFmtId="277" formatCode="d/\ m/\ yy\ hh:mm"/>
    <numFmt numFmtId="278" formatCode="yyyy/\ m/\ d\."/>
    <numFmt numFmtId="279" formatCode="yyyy/mm/dd"/>
    <numFmt numFmtId="280" formatCode="yyyy/\ mmm/\ d\."/>
    <numFmt numFmtId="281" formatCode="yyyy/mmm/d"/>
    <numFmt numFmtId="282" formatCode="mmmm\ d\."/>
    <numFmt numFmtId="283" formatCode="yyyy/\ mmmm"/>
    <numFmt numFmtId="284" formatCode="yyyy/\ mmmm\ d\."/>
    <numFmt numFmtId="285" formatCode="yyyy\.\ m\.\ d\.\ h:mm\ AM/PM"/>
    <numFmt numFmtId="286" formatCode="yyyy\.\ m\.\ d\.\ h:mm"/>
    <numFmt numFmtId="287" formatCode="mmm/\ d\."/>
    <numFmt numFmtId="288" formatCode="yy\ mm\ dd"/>
    <numFmt numFmtId="289" formatCode="yy\.mm\.dd"/>
    <numFmt numFmtId="290" formatCode="h\ &quot;óra&quot;\ m\ &quot;perc&quot;\ AM/PM"/>
    <numFmt numFmtId="291" formatCode="h\ &quot;óra&quot;\ m\ &quot;perc&quot;"/>
    <numFmt numFmtId="292" formatCode="h\ &quot;óra&quot;\ m\ &quot;perckor&quot;\ AM/PM"/>
    <numFmt numFmtId="293" formatCode="d/mm"/>
    <numFmt numFmtId="294" formatCode="d/mm/yy"/>
    <numFmt numFmtId="295" formatCode="d\ mmmm\,\ yyyy"/>
    <numFmt numFmtId="296" formatCode="d\ mmmm\ yy"/>
    <numFmt numFmtId="297" formatCode="dd\ mmmm\ yy"/>
    <numFmt numFmtId="298" formatCode="d\ mmmm\ yyyy\ h:mm"/>
    <numFmt numFmtId="299" formatCode="d\ mmm\ yy"/>
    <numFmt numFmtId="300" formatCode="dd\ mmm\ yy"/>
    <numFmt numFmtId="301" formatCode="dd/mm/yy\ h:mm\ AM/PM"/>
    <numFmt numFmtId="302" formatCode="d\-mmmm"/>
    <numFmt numFmtId="303" formatCode="d\-mmmm\-yy"/>
    <numFmt numFmtId="304" formatCode="dd\-mmmm\-yy"/>
    <numFmt numFmtId="305" formatCode="d/mmm"/>
    <numFmt numFmtId="306" formatCode="mm/dd"/>
    <numFmt numFmtId="307" formatCode="#,##0.00&quot;DM&quot;;\(#,##0.00&quot;DM&quot;\)"/>
    <numFmt numFmtId="308" formatCode="#,##0.00\ _D_M"/>
    <numFmt numFmtId="309" formatCode="#,##0.00\ &quot;DM&quot;"/>
    <numFmt numFmtId="310" formatCode="#,##0.00_-"/>
    <numFmt numFmtId="311" formatCode="0.0000E+00"/>
    <numFmt numFmtId="312" formatCode="0.0000"/>
    <numFmt numFmtId="313" formatCode="&quot;€&quot;\ #,##0.00_-"/>
  </numFmts>
  <fonts count="15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3"/>
      <name val="Tahoma"/>
      <family val="2"/>
    </font>
    <font>
      <sz val="10"/>
      <color indexed="16"/>
      <name val="Tahoma"/>
      <family val="2"/>
    </font>
    <font>
      <b/>
      <sz val="10"/>
      <color indexed="16"/>
      <name val="Tahoma"/>
      <family val="2"/>
    </font>
    <font>
      <b/>
      <sz val="8"/>
      <name val="Tahoma"/>
      <family val="0"/>
    </font>
    <font>
      <b/>
      <sz val="10"/>
      <color indexed="13"/>
      <name val="Tahoma"/>
      <family val="2"/>
    </font>
    <font>
      <sz val="10"/>
      <color indexed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4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22"/>
        <b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307" fontId="4" fillId="0" borderId="0" xfId="0" applyNumberFormat="1" applyFont="1" applyAlignment="1" applyProtection="1">
      <alignment/>
      <protection hidden="1"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 hidden="1" locked="0"/>
    </xf>
    <xf numFmtId="307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applyProtection="1" quotePrefix="1">
      <alignment horizontal="left"/>
      <protection hidden="1" locked="0"/>
    </xf>
    <xf numFmtId="0" fontId="4" fillId="2" borderId="1" xfId="0" applyFont="1" applyFill="1" applyBorder="1" applyAlignment="1" applyProtection="1">
      <alignment/>
      <protection hidden="1"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hidden="1" locked="0"/>
    </xf>
    <xf numFmtId="175" fontId="4" fillId="0" borderId="0" xfId="0" applyNumberFormat="1" applyFont="1" applyAlignment="1" applyProtection="1">
      <alignment horizontal="left"/>
      <protection hidden="1" locked="0"/>
    </xf>
    <xf numFmtId="175" fontId="4" fillId="0" borderId="0" xfId="0" applyNumberFormat="1" applyFont="1" applyAlignment="1" applyProtection="1">
      <alignment/>
      <protection hidden="1" locked="0"/>
    </xf>
    <xf numFmtId="175" fontId="4" fillId="0" borderId="0" xfId="0" applyNumberFormat="1" applyFont="1" applyAlignment="1" applyProtection="1">
      <alignment horizontal="center"/>
      <protection hidden="1" locked="0"/>
    </xf>
    <xf numFmtId="175" fontId="4" fillId="0" borderId="0" xfId="0" applyNumberFormat="1" applyFont="1" applyAlignment="1" applyProtection="1">
      <alignment/>
      <protection locked="0"/>
    </xf>
    <xf numFmtId="0" fontId="4" fillId="0" borderId="2" xfId="0" applyFont="1" applyBorder="1" applyAlignment="1" applyProtection="1">
      <alignment horizontal="right"/>
      <protection hidden="1"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center"/>
      <protection hidden="1" locked="0"/>
    </xf>
    <xf numFmtId="0" fontId="4" fillId="4" borderId="3" xfId="0" applyFont="1" applyFill="1" applyBorder="1" applyAlignment="1" applyProtection="1">
      <alignment horizontal="center"/>
      <protection hidden="1" locked="0"/>
    </xf>
    <xf numFmtId="10" fontId="4" fillId="3" borderId="6" xfId="0" applyNumberFormat="1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 horizontal="left"/>
      <protection hidden="1" locked="0"/>
    </xf>
    <xf numFmtId="0" fontId="5" fillId="2" borderId="6" xfId="0" applyFont="1" applyFill="1" applyBorder="1" applyAlignment="1" applyProtection="1">
      <alignment horizontal="left"/>
      <protection hidden="1" locked="0"/>
    </xf>
    <xf numFmtId="0" fontId="4" fillId="2" borderId="3" xfId="0" applyFont="1" applyFill="1" applyBorder="1" applyAlignment="1" applyProtection="1">
      <alignment horizontal="center"/>
      <protection hidden="1" locked="0"/>
    </xf>
    <xf numFmtId="0" fontId="7" fillId="2" borderId="3" xfId="0" applyFont="1" applyFill="1" applyBorder="1" applyAlignment="1" applyProtection="1">
      <alignment horizontal="center"/>
      <protection hidden="1" locked="0"/>
    </xf>
    <xf numFmtId="0" fontId="4" fillId="0" borderId="0" xfId="0" applyNumberFormat="1" applyFont="1" applyFill="1" applyBorder="1" applyAlignment="1" applyProtection="1">
      <alignment/>
      <protection hidden="1" locked="0"/>
    </xf>
    <xf numFmtId="307" fontId="6" fillId="5" borderId="7" xfId="0" applyNumberFormat="1" applyFont="1" applyFill="1" applyBorder="1" applyAlignment="1" applyProtection="1">
      <alignment horizontal="left"/>
      <protection locked="0"/>
    </xf>
    <xf numFmtId="11" fontId="6" fillId="5" borderId="8" xfId="0" applyNumberFormat="1" applyFont="1" applyFill="1" applyBorder="1" applyAlignment="1" applyProtection="1">
      <alignment horizontal="right"/>
      <protection locked="0"/>
    </xf>
    <xf numFmtId="307" fontId="6" fillId="5" borderId="9" xfId="0" applyNumberFormat="1" applyFont="1" applyFill="1" applyBorder="1" applyAlignment="1" applyProtection="1">
      <alignment/>
      <protection hidden="1" locked="0"/>
    </xf>
    <xf numFmtId="0" fontId="6" fillId="5" borderId="10" xfId="0" applyFont="1" applyFill="1" applyBorder="1" applyAlignment="1">
      <alignment/>
    </xf>
    <xf numFmtId="0" fontId="6" fillId="5" borderId="11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right"/>
    </xf>
    <xf numFmtId="0" fontId="8" fillId="6" borderId="6" xfId="0" applyFont="1" applyFill="1" applyBorder="1" applyAlignment="1" applyProtection="1">
      <alignment horizontal="center"/>
      <protection hidden="1" locked="0"/>
    </xf>
    <xf numFmtId="307" fontId="4" fillId="0" borderId="0" xfId="0" applyNumberFormat="1" applyFont="1" applyAlignment="1" applyProtection="1">
      <alignment horizontal="left"/>
      <protection hidden="1" locked="0"/>
    </xf>
    <xf numFmtId="11" fontId="6" fillId="5" borderId="8" xfId="0" applyNumberFormat="1" applyFont="1" applyFill="1" applyBorder="1" applyAlignment="1" applyProtection="1">
      <alignment horizontal="center"/>
      <protection locked="0"/>
    </xf>
    <xf numFmtId="166" fontId="4" fillId="3" borderId="4" xfId="0" applyNumberFormat="1" applyFont="1" applyFill="1" applyBorder="1" applyAlignment="1" applyProtection="1">
      <alignment/>
      <protection locked="0"/>
    </xf>
    <xf numFmtId="166" fontId="4" fillId="4" borderId="5" xfId="0" applyNumberFormat="1" applyFont="1" applyFill="1" applyBorder="1" applyAlignment="1" applyProtection="1">
      <alignment/>
      <protection hidden="1" locked="0"/>
    </xf>
    <xf numFmtId="166" fontId="4" fillId="4" borderId="13" xfId="0" applyNumberFormat="1" applyFont="1" applyFill="1" applyBorder="1" applyAlignment="1" applyProtection="1">
      <alignment/>
      <protection hidden="1" locked="0"/>
    </xf>
    <xf numFmtId="166" fontId="4" fillId="7" borderId="1" xfId="0" applyNumberFormat="1" applyFont="1" applyFill="1" applyBorder="1" applyAlignment="1" applyProtection="1">
      <alignment/>
      <protection hidden="1" locked="0"/>
    </xf>
    <xf numFmtId="166" fontId="4" fillId="4" borderId="6" xfId="0" applyNumberFormat="1" applyFont="1" applyFill="1" applyBorder="1" applyAlignment="1" applyProtection="1">
      <alignment/>
      <protection hidden="1" locked="0"/>
    </xf>
    <xf numFmtId="166" fontId="4" fillId="4" borderId="3" xfId="0" applyNumberFormat="1" applyFont="1" applyFill="1" applyBorder="1" applyAlignment="1" applyProtection="1">
      <alignment/>
      <protection hidden="1" locked="0"/>
    </xf>
    <xf numFmtId="166" fontId="4" fillId="4" borderId="4" xfId="0" applyNumberFormat="1" applyFont="1" applyFill="1" applyBorder="1" applyAlignment="1" applyProtection="1">
      <alignment/>
      <protection hidden="1" locked="0"/>
    </xf>
    <xf numFmtId="166" fontId="7" fillId="2" borderId="4" xfId="0" applyNumberFormat="1" applyFont="1" applyFill="1" applyBorder="1" applyAlignment="1" applyProtection="1">
      <alignment/>
      <protection hidden="1" locked="0"/>
    </xf>
    <xf numFmtId="166" fontId="4" fillId="3" borderId="6" xfId="0" applyNumberFormat="1" applyFont="1" applyFill="1" applyBorder="1" applyAlignment="1" applyProtection="1">
      <alignment/>
      <protection locked="0"/>
    </xf>
    <xf numFmtId="166" fontId="4" fillId="4" borderId="1" xfId="0" applyNumberFormat="1" applyFont="1" applyFill="1" applyBorder="1" applyAlignment="1" applyProtection="1">
      <alignment/>
      <protection hidden="1" locked="0"/>
    </xf>
    <xf numFmtId="166" fontId="4" fillId="8" borderId="10" xfId="0" applyNumberFormat="1" applyFont="1" applyFill="1" applyBorder="1" applyAlignment="1" applyProtection="1">
      <alignment/>
      <protection hidden="1" locked="0"/>
    </xf>
    <xf numFmtId="166" fontId="4" fillId="8" borderId="7" xfId="0" applyNumberFormat="1" applyFont="1" applyFill="1" applyBorder="1" applyAlignment="1" applyProtection="1">
      <alignment/>
      <protection hidden="1" locked="0"/>
    </xf>
    <xf numFmtId="166" fontId="4" fillId="7" borderId="4" xfId="0" applyNumberFormat="1" applyFont="1" applyFill="1" applyBorder="1" applyAlignment="1">
      <alignment/>
    </xf>
    <xf numFmtId="166" fontId="4" fillId="7" borderId="6" xfId="0" applyNumberFormat="1" applyFont="1" applyFill="1" applyBorder="1" applyAlignment="1" applyProtection="1">
      <alignment horizontal="right"/>
      <protection hidden="1" locked="0"/>
    </xf>
    <xf numFmtId="166" fontId="4" fillId="7" borderId="4" xfId="0" applyNumberFormat="1" applyFont="1" applyFill="1" applyBorder="1" applyAlignment="1" applyProtection="1">
      <alignment/>
      <protection hidden="1" locked="0"/>
    </xf>
    <xf numFmtId="166" fontId="4" fillId="8" borderId="6" xfId="0" applyNumberFormat="1" applyFont="1" applyFill="1" applyBorder="1" applyAlignment="1" applyProtection="1">
      <alignment/>
      <protection hidden="1" locked="0"/>
    </xf>
    <xf numFmtId="166" fontId="4" fillId="7" borderId="6" xfId="0" applyNumberFormat="1" applyFont="1" applyFill="1" applyBorder="1" applyAlignment="1" applyProtection="1">
      <alignment/>
      <protection hidden="1" locked="0"/>
    </xf>
    <xf numFmtId="166" fontId="4" fillId="8" borderId="4" xfId="0" applyNumberFormat="1" applyFont="1" applyFill="1" applyBorder="1" applyAlignment="1" applyProtection="1">
      <alignment/>
      <protection locked="0"/>
    </xf>
    <xf numFmtId="166" fontId="4" fillId="7" borderId="6" xfId="0" applyNumberFormat="1" applyFont="1" applyFill="1" applyBorder="1" applyAlignment="1">
      <alignment/>
    </xf>
    <xf numFmtId="166" fontId="4" fillId="7" borderId="4" xfId="0" applyNumberFormat="1" applyFont="1" applyFill="1" applyBorder="1" applyAlignment="1" applyProtection="1">
      <alignment/>
      <protection locked="0"/>
    </xf>
    <xf numFmtId="166" fontId="4" fillId="7" borderId="6" xfId="0" applyNumberFormat="1" applyFont="1" applyFill="1" applyBorder="1" applyAlignment="1" applyProtection="1">
      <alignment/>
      <protection locked="0"/>
    </xf>
    <xf numFmtId="166" fontId="4" fillId="7" borderId="11" xfId="0" applyNumberFormat="1" applyFont="1" applyFill="1" applyBorder="1" applyAlignment="1" applyProtection="1">
      <alignment/>
      <protection locked="0"/>
    </xf>
    <xf numFmtId="166" fontId="4" fillId="7" borderId="12" xfId="0" applyNumberFormat="1" applyFont="1" applyFill="1" applyBorder="1" applyAlignment="1">
      <alignment/>
    </xf>
    <xf numFmtId="166" fontId="4" fillId="2" borderId="4" xfId="0" applyNumberFormat="1" applyFont="1" applyFill="1" applyBorder="1" applyAlignment="1" applyProtection="1">
      <alignment/>
      <protection locked="0"/>
    </xf>
    <xf numFmtId="166" fontId="4" fillId="2" borderId="1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 applyProtection="1">
      <alignment/>
      <protection hidden="1" locked="0"/>
    </xf>
    <xf numFmtId="166" fontId="4" fillId="4" borderId="3" xfId="0" applyNumberFormat="1" applyFont="1" applyFill="1" applyBorder="1" applyAlignment="1" applyProtection="1">
      <alignment horizontal="center"/>
      <protection hidden="1" locked="0"/>
    </xf>
    <xf numFmtId="166" fontId="4" fillId="4" borderId="13" xfId="0" applyNumberFormat="1" applyFont="1" applyFill="1" applyBorder="1" applyAlignment="1" applyProtection="1">
      <alignment horizontal="center"/>
      <protection hidden="1" locked="0"/>
    </xf>
    <xf numFmtId="166" fontId="4" fillId="3" borderId="10" xfId="0" applyNumberFormat="1" applyFont="1" applyFill="1" applyBorder="1" applyAlignment="1" applyProtection="1">
      <alignment/>
      <protection hidden="1" locked="0"/>
    </xf>
    <xf numFmtId="0" fontId="10" fillId="9" borderId="14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right"/>
      <protection locked="0"/>
    </xf>
    <xf numFmtId="1" fontId="4" fillId="1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/>
      <protection locked="0"/>
    </xf>
    <xf numFmtId="166" fontId="4" fillId="3" borderId="0" xfId="0" applyNumberFormat="1" applyFont="1" applyFill="1" applyAlignment="1" applyProtection="1">
      <alignment horizontal="right"/>
      <protection locked="0"/>
    </xf>
    <xf numFmtId="307" fontId="4" fillId="0" borderId="0" xfId="0" applyNumberFormat="1" applyFont="1" applyAlignment="1" applyProtection="1">
      <alignment horizontal="center"/>
      <protection locked="0"/>
    </xf>
    <xf numFmtId="11" fontId="4" fillId="0" borderId="0" xfId="0" applyNumberFormat="1" applyFont="1" applyAlignment="1" applyProtection="1">
      <alignment horizontal="left"/>
      <protection locked="0"/>
    </xf>
    <xf numFmtId="11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166" fontId="4" fillId="4" borderId="0" xfId="0" applyNumberFormat="1" applyFont="1" applyFill="1" applyAlignment="1" applyProtection="1">
      <alignment horizontal="right"/>
      <protection locked="0"/>
    </xf>
    <xf numFmtId="307" fontId="6" fillId="5" borderId="12" xfId="0" applyNumberFormat="1" applyFont="1" applyFill="1" applyBorder="1" applyAlignment="1" applyProtection="1">
      <alignment horizontal="center"/>
      <protection locked="0"/>
    </xf>
    <xf numFmtId="11" fontId="6" fillId="5" borderId="11" xfId="0" applyNumberFormat="1" applyFont="1" applyFill="1" applyBorder="1" applyAlignment="1" applyProtection="1">
      <alignment horizontal="left"/>
      <protection locked="0"/>
    </xf>
    <xf numFmtId="11" fontId="6" fillId="5" borderId="10" xfId="0" applyNumberFormat="1" applyFont="1" applyFill="1" applyBorder="1" applyAlignment="1" applyProtection="1">
      <alignment horizontal="left"/>
      <protection locked="0"/>
    </xf>
    <xf numFmtId="307" fontId="4" fillId="0" borderId="0" xfId="0" applyNumberFormat="1" applyFont="1" applyAlignment="1" applyProtection="1">
      <alignment horizontal="left"/>
      <protection locked="0"/>
    </xf>
    <xf numFmtId="166" fontId="11" fillId="3" borderId="0" xfId="0" applyNumberFormat="1" applyFont="1" applyFill="1" applyAlignment="1" applyProtection="1">
      <alignment horizontal="right"/>
      <protection locked="0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0" fontId="4" fillId="8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right"/>
      <protection locked="0"/>
    </xf>
    <xf numFmtId="166" fontId="4" fillId="8" borderId="0" xfId="0" applyNumberFormat="1" applyFont="1" applyFill="1" applyAlignment="1" applyProtection="1">
      <alignment horizontal="right"/>
      <protection locked="0"/>
    </xf>
    <xf numFmtId="166" fontId="4" fillId="10" borderId="1" xfId="0" applyNumberFormat="1" applyFont="1" applyFill="1" applyBorder="1" applyAlignment="1" applyProtection="1">
      <alignment horizontal="right"/>
      <protection locked="0"/>
    </xf>
    <xf numFmtId="0" fontId="4" fillId="10" borderId="6" xfId="0" applyFont="1" applyFill="1" applyBorder="1" applyAlignment="1" applyProtection="1">
      <alignment horizontal="center"/>
      <protection locked="0"/>
    </xf>
    <xf numFmtId="0" fontId="4" fillId="10" borderId="3" xfId="0" applyFont="1" applyFill="1" applyBorder="1" applyAlignment="1" applyProtection="1">
      <alignment horizontal="center"/>
      <protection locked="0"/>
    </xf>
    <xf numFmtId="0" fontId="4" fillId="10" borderId="4" xfId="0" applyFont="1" applyFill="1" applyBorder="1" applyAlignment="1" applyProtection="1">
      <alignment horizontal="center"/>
      <protection locked="0"/>
    </xf>
    <xf numFmtId="0" fontId="4" fillId="10" borderId="0" xfId="0" applyFont="1" applyFill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7" fillId="10" borderId="6" xfId="0" applyFont="1" applyFill="1" applyBorder="1" applyAlignment="1" applyProtection="1">
      <alignment/>
      <protection locked="0"/>
    </xf>
    <xf numFmtId="166" fontId="8" fillId="10" borderId="4" xfId="0" applyNumberFormat="1" applyFont="1" applyFill="1" applyBorder="1" applyAlignment="1" applyProtection="1">
      <alignment horizontal="right"/>
      <protection locked="0"/>
    </xf>
    <xf numFmtId="0" fontId="12" fillId="11" borderId="12" xfId="0" applyFont="1" applyFill="1" applyBorder="1" applyAlignment="1">
      <alignment horizontal="center"/>
    </xf>
    <xf numFmtId="312" fontId="12" fillId="11" borderId="13" xfId="0" applyNumberFormat="1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left"/>
    </xf>
    <xf numFmtId="167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12" borderId="15" xfId="0" applyFont="1" applyFill="1" applyBorder="1" applyAlignment="1">
      <alignment horizontal="center"/>
    </xf>
    <xf numFmtId="0" fontId="13" fillId="12" borderId="15" xfId="0" applyFont="1" applyFill="1" applyBorder="1" applyAlignment="1">
      <alignment/>
    </xf>
    <xf numFmtId="167" fontId="13" fillId="12" borderId="15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/>
    </xf>
    <xf numFmtId="167" fontId="12" fillId="0" borderId="5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/>
    </xf>
    <xf numFmtId="167" fontId="13" fillId="0" borderId="3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167" fontId="13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2" fillId="2" borderId="12" xfId="0" applyFont="1" applyFill="1" applyBorder="1" applyAlignment="1">
      <alignment horizontal="center"/>
    </xf>
    <xf numFmtId="312" fontId="12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/>
    </xf>
    <xf numFmtId="167" fontId="13" fillId="0" borderId="5" xfId="0" applyNumberFormat="1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3" xfId="0" applyNumberFormat="1" applyFont="1" applyBorder="1" applyAlignment="1">
      <alignment horizontal="left"/>
    </xf>
    <xf numFmtId="312" fontId="13" fillId="0" borderId="3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313" fontId="13" fillId="0" borderId="3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4" fillId="0" borderId="0" xfId="0" applyNumberFormat="1" applyFont="1" applyAlignment="1">
      <alignment/>
    </xf>
    <xf numFmtId="166" fontId="14" fillId="0" borderId="0" xfId="0" applyNumberFormat="1" applyFont="1" applyAlignment="1" applyProtection="1">
      <alignment horizontal="right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13" borderId="4" xfId="0" applyFont="1" applyFill="1" applyBorder="1" applyAlignment="1" applyProtection="1">
      <alignment horizontal="left"/>
      <protection hidden="1" locked="0"/>
    </xf>
    <xf numFmtId="166" fontId="4" fillId="13" borderId="6" xfId="0" applyNumberFormat="1" applyFont="1" applyFill="1" applyBorder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0.28125" style="0" customWidth="1"/>
    <col min="2" max="2" width="1.7109375" style="0" customWidth="1"/>
    <col min="3" max="4" width="10.421875" style="0" customWidth="1"/>
    <col min="5" max="5" width="13.28125" style="0" customWidth="1"/>
    <col min="6" max="6" width="13.140625" style="0" hidden="1" customWidth="1"/>
    <col min="7" max="7" width="20.00390625" style="0" hidden="1" customWidth="1"/>
    <col min="8" max="8" width="61.421875" style="0" customWidth="1"/>
    <col min="9" max="9" width="10.421875" style="0" customWidth="1"/>
    <col min="10" max="16384" width="10.421875" style="0" bestFit="1" customWidth="1"/>
  </cols>
  <sheetData>
    <row r="1" spans="1:8" ht="12.75">
      <c r="A1" s="3" t="s">
        <v>0</v>
      </c>
      <c r="B1" s="21">
        <v>1</v>
      </c>
      <c r="C1" s="42">
        <v>296</v>
      </c>
      <c r="D1" s="40">
        <f>IF(EA=0,ROUND(HV*RS*MAX(K_1,K_2,K_3)/100,1),0)</f>
        <v>0</v>
      </c>
      <c r="E1" s="4"/>
      <c r="F1" s="141">
        <f>K_7+K_14+K_16+K_18+K_21</f>
        <v>0</v>
      </c>
      <c r="G1" s="2">
        <f>IF((Lohn-MB_Pausch)&lt;(RS*25/100),Lohn,MB_Pausch+ROUND(RS*25/100,2)+ROUND((Lohn-MB_Pausch-ROUND(RS*25/100,2))*15/100,2))</f>
        <v>0</v>
      </c>
      <c r="H1" s="3" t="s">
        <v>83</v>
      </c>
    </row>
    <row r="2" spans="1:8" ht="12.75">
      <c r="A2" s="3" t="s">
        <v>1</v>
      </c>
      <c r="B2" s="20">
        <v>0</v>
      </c>
      <c r="C2" s="4" t="s">
        <v>2</v>
      </c>
      <c r="D2" s="41">
        <f>IF(EU=0,0,IF(EU=1,IF(EA=0,ROUND(HV*RS*20/100,1),ROUND(RS*18/100,1)),IF(EU&gt;3,0,IF(HV=0,ROUND(RS_E*20/100,1),ROUND(RS*20/100,1)))))</f>
        <v>0</v>
      </c>
      <c r="E2" s="4"/>
      <c r="F2" s="64">
        <f>IF(HV&gt;0,RS+MB_K+MB_EU,MB_K+MB_EU)</f>
        <v>296</v>
      </c>
      <c r="G2" s="2">
        <f>IF((Lohn-MB_Pausch)&lt;(RS*30/100),Lohn,MB_Pausch+ROUND(RS*30/100,2)+ROUND((Lohn-MB_Pausch-ROUND(RS*30/100,2))*25/100,2))</f>
        <v>0</v>
      </c>
      <c r="H2" s="3" t="s">
        <v>3</v>
      </c>
    </row>
    <row r="3" spans="1:8" ht="12.75">
      <c r="A3" s="3" t="s">
        <v>4</v>
      </c>
      <c r="B3" s="21">
        <v>0</v>
      </c>
      <c r="C3" s="43">
        <f>EA*ROUND(RS*80/100,0)</f>
        <v>0</v>
      </c>
      <c r="D3" s="29"/>
      <c r="E3" s="4"/>
      <c r="F3" s="64">
        <f>RS_E</f>
        <v>0</v>
      </c>
      <c r="G3" s="2">
        <f>IF(EU&gt;2,2/3,1/2)</f>
        <v>0.5</v>
      </c>
      <c r="H3" s="3" t="s">
        <v>84</v>
      </c>
    </row>
    <row r="4" spans="1:8" ht="12.75">
      <c r="A4" s="3" t="s">
        <v>5</v>
      </c>
      <c r="B4" s="21">
        <v>0</v>
      </c>
      <c r="C4" s="44">
        <f>IF(EA=0,K_7*ROUND(RS*55/100,0),K_7*ROUND(RS*50/100,0))</f>
        <v>0</v>
      </c>
      <c r="D4" s="35" t="s">
        <v>16</v>
      </c>
      <c r="E4" s="34" t="s">
        <v>39</v>
      </c>
      <c r="F4" s="64">
        <f>RS_7</f>
        <v>0</v>
      </c>
      <c r="G4" s="2">
        <f>IF(EU&gt;2,MB_25,MB_15)</f>
        <v>0</v>
      </c>
      <c r="H4" s="3" t="s">
        <v>85</v>
      </c>
    </row>
    <row r="5" spans="1:8" ht="12.75">
      <c r="A5" s="3" t="s">
        <v>6</v>
      </c>
      <c r="B5" s="21">
        <v>0</v>
      </c>
      <c r="C5" s="44">
        <f>K_14*ROUND(RS*65/100,0)</f>
        <v>0</v>
      </c>
      <c r="D5" s="38" t="s">
        <v>126</v>
      </c>
      <c r="E5" s="32"/>
      <c r="F5" s="64">
        <f>RS_14</f>
        <v>0</v>
      </c>
      <c r="G5" s="2">
        <f>IF(K_7&gt;0,40,0)</f>
        <v>0</v>
      </c>
      <c r="H5" s="3" t="s">
        <v>86</v>
      </c>
    </row>
    <row r="6" spans="1:8" ht="12.75">
      <c r="A6" s="3" t="s">
        <v>7</v>
      </c>
      <c r="B6" s="21">
        <v>0</v>
      </c>
      <c r="C6" s="44">
        <f>K_16*ROUND(RS*90/100,0)</f>
        <v>0</v>
      </c>
      <c r="D6" s="31" t="s">
        <v>8</v>
      </c>
      <c r="E6" s="32"/>
      <c r="F6" s="64">
        <f>RS_16</f>
        <v>0</v>
      </c>
      <c r="G6" s="2">
        <f>IF((K_7+K_14+K_16)&gt;1,40,0)</f>
        <v>0</v>
      </c>
      <c r="H6" s="3" t="s">
        <v>87</v>
      </c>
    </row>
    <row r="7" spans="1:8" ht="12.75">
      <c r="A7" s="3" t="s">
        <v>10</v>
      </c>
      <c r="B7" s="21">
        <v>0</v>
      </c>
      <c r="C7" s="44">
        <f>K_18*ROUND(RS*90/100,0)</f>
        <v>0</v>
      </c>
      <c r="D7" s="30" t="s">
        <v>9</v>
      </c>
      <c r="E7" s="33"/>
      <c r="F7" s="64">
        <f>RS_18</f>
        <v>0</v>
      </c>
      <c r="G7" s="2">
        <f>IF((K_7+K_14+K_16)&gt;3,60,0)</f>
        <v>0</v>
      </c>
      <c r="H7" s="3" t="s">
        <v>88</v>
      </c>
    </row>
    <row r="8" spans="1:8" ht="12.75">
      <c r="A8" s="3" t="s">
        <v>121</v>
      </c>
      <c r="B8" s="21">
        <v>0</v>
      </c>
      <c r="C8" s="44">
        <f>K_21*ROUND(RS*80/100,0)</f>
        <v>0</v>
      </c>
      <c r="D8" s="4"/>
      <c r="E8" s="4"/>
      <c r="F8" s="64">
        <f>RS_21</f>
        <v>0</v>
      </c>
      <c r="G8" s="2">
        <f>IF((K_X+Heim)=3,462,0)</f>
        <v>0</v>
      </c>
      <c r="H8" s="3" t="s">
        <v>122</v>
      </c>
    </row>
    <row r="9" spans="1:8" ht="12.75">
      <c r="A9" s="3" t="s">
        <v>82</v>
      </c>
      <c r="B9" s="1" t="s">
        <v>11</v>
      </c>
      <c r="C9" s="39">
        <v>0</v>
      </c>
      <c r="D9" s="47">
        <v>0</v>
      </c>
      <c r="E9" s="37" t="s">
        <v>119</v>
      </c>
      <c r="F9" s="64">
        <f>Miete-keinWoG</f>
        <v>0</v>
      </c>
      <c r="G9" s="2">
        <f>IF((K_X+Heim)&gt;3,462+179*(K_X+Heim-3),0)</f>
        <v>0</v>
      </c>
      <c r="H9" s="3" t="s">
        <v>118</v>
      </c>
    </row>
    <row r="10" spans="1:8" ht="12.75">
      <c r="A10" s="3" t="s">
        <v>12</v>
      </c>
      <c r="B10" s="1" t="s">
        <v>11</v>
      </c>
      <c r="C10" s="39">
        <v>0</v>
      </c>
      <c r="D10" s="24">
        <v>0</v>
      </c>
      <c r="E10" s="3" t="s">
        <v>43</v>
      </c>
      <c r="F10" s="64">
        <f>Heizung</f>
        <v>0</v>
      </c>
      <c r="G10" s="64">
        <f>RS*HV+RS_E+RS_7+RS_14+RS_16+RS_18+RS_21</f>
        <v>296</v>
      </c>
      <c r="H10" s="3" t="s">
        <v>89</v>
      </c>
    </row>
    <row r="11" spans="1:8" ht="12.75">
      <c r="A11" s="3" t="s">
        <v>13</v>
      </c>
      <c r="B11" s="1" t="s">
        <v>11</v>
      </c>
      <c r="C11" s="39">
        <v>0</v>
      </c>
      <c r="D11" s="48">
        <f>IF(MB_Erg&lt;=RS*MB_Max+MB_Pausch,MB_Erg,ROUND(RS*MB_Max,2)+MB_Pausch)</f>
        <v>0</v>
      </c>
      <c r="E11" s="39">
        <v>5.2</v>
      </c>
      <c r="F11" s="64">
        <f>Lohn-MB_Lohn</f>
        <v>0</v>
      </c>
      <c r="G11" s="64">
        <f>MB_K+MB_EU+MB_Lohn-Kuerzung*RS</f>
        <v>0</v>
      </c>
      <c r="H11" s="3" t="s">
        <v>90</v>
      </c>
    </row>
    <row r="12" spans="1:8" ht="12.75">
      <c r="A12" s="3" t="s">
        <v>14</v>
      </c>
      <c r="B12" s="1" t="s">
        <v>11</v>
      </c>
      <c r="C12" s="39">
        <v>0</v>
      </c>
      <c r="D12" s="47">
        <v>0</v>
      </c>
      <c r="E12" s="3" t="s">
        <v>42</v>
      </c>
      <c r="F12" s="64">
        <f>Rente+ROUND(ALU*13/3,2)</f>
        <v>0</v>
      </c>
      <c r="G12" s="64">
        <f>HV_m+EA_m+K7_m+K14_m+K16_m+K18_m+K21_m</f>
        <v>296</v>
      </c>
      <c r="H12" s="3" t="s">
        <v>91</v>
      </c>
    </row>
    <row r="13" spans="1:8" ht="12.75">
      <c r="A13" s="3" t="s">
        <v>15</v>
      </c>
      <c r="B13" s="9" t="s">
        <v>11</v>
      </c>
      <c r="C13" s="45">
        <f>IF((K_7+K_14+K_16+K_18+K_21+Heim)&lt;3,154*(K_7+K_14+K_16+K_18+K_21+Heim),KG_3+KG_4)</f>
        <v>0</v>
      </c>
      <c r="D13" s="143">
        <v>0</v>
      </c>
      <c r="E13" s="3" t="s">
        <v>41</v>
      </c>
      <c r="F13" s="64">
        <f>IF(KG=0,0,IF(Heim=0,IF(KG=154,143.77,KG-20.45),IF(KG=154,0,ROUND((KG-20.45)/(K_X+Heim)*K_X,2))))</f>
        <v>0</v>
      </c>
      <c r="G13" s="2">
        <f>IF(Lohn&lt;ROUND(ROUND(BSHG_79*0.64,0)*0.217,2),Lohn,ROUND(ROUND(BSHG_79*0.64,0)*0.217,2)+ROUND((Lohn-ROUND(ROUND(BSHG_79*0.64,0)*0.217,2))*15/100,2))</f>
        <v>0</v>
      </c>
      <c r="H13" s="3" t="s">
        <v>92</v>
      </c>
    </row>
    <row r="14" spans="1:8" ht="12.75">
      <c r="A14" s="36" t="s">
        <v>16</v>
      </c>
      <c r="B14" s="28" t="s">
        <v>11</v>
      </c>
      <c r="C14" s="46">
        <f>RSm_Summe+Miete_m+Heizung_m-Lohn_m-Einkommen_m-KG_m-RS*Kuerzung-Wohngeld</f>
        <v>296</v>
      </c>
      <c r="D14" s="145" t="str">
        <f>IF(EU&lt;2,"---",IF((HV+EA+K_7+K_14+K_16+K_18+K_21)&gt;1,"???",IF((Sozialhilfe+RS*0.15)&gt;0,Sozialhilfe+RS*0.15,"Nein")))</f>
        <v>---</v>
      </c>
      <c r="E14" s="144" t="s">
        <v>124</v>
      </c>
      <c r="F14" s="2">
        <f>IF(PKH_sum&lt;=750,200+(INT((PKH_sum-1)/50)-10)*25,300+PKH_sum-750)</f>
        <v>-100</v>
      </c>
      <c r="G14" s="2">
        <f>IF(Lohn&lt;ROUND(ROUND(BSHG_79*0.64,0)*0.287,2),Lohn,ROUND(ROUND(BSHG_79*0.64,0)*0.287,2)+ROUND((Lohn-ROUND(ROUND(BSHG_79*0.64,0)*0.287,2))*25/100,2))</f>
        <v>0</v>
      </c>
      <c r="H14" s="3" t="s">
        <v>125</v>
      </c>
    </row>
    <row r="15" spans="1:8" ht="12.75">
      <c r="A15" s="5" t="s">
        <v>17</v>
      </c>
      <c r="B15" s="5"/>
      <c r="C15" s="5"/>
      <c r="D15" s="22" t="str">
        <f>IF(Sozialhilfe&gt;0,"Ja",GEZ_jn)</f>
        <v>Ja</v>
      </c>
      <c r="E15" s="5"/>
      <c r="F15" s="2">
        <f>IF(PKH_sum&lt;=500,95+(INT((PKH_sum-1)/50)-5)*20,0)</f>
        <v>-45</v>
      </c>
      <c r="G15" s="2">
        <f>IF(EU&gt;2,0.574,0.434)</f>
        <v>0.434</v>
      </c>
      <c r="H15" s="10" t="s">
        <v>93</v>
      </c>
    </row>
    <row r="16" spans="1:8" ht="12.75">
      <c r="A16" s="5" t="s">
        <v>18</v>
      </c>
      <c r="B16" s="5"/>
      <c r="C16" s="5"/>
      <c r="D16" s="23" t="str">
        <f>IF(Sozialhilfe&gt;0,"Ja",IF((ROUNDUP(BSHG_79*0.64,0)+ROUNDUP(BSHG_79*0.64,0)*EA+ROUNDUP(BSHG_79*0.45,0)*(K_7+K_14+K_16+K_18+K_21)+Miete+Heizung+Strom+Telefon+Raten+GEZ*13/3)&lt;(Lohn+Einkommen_m+KG_m),"Nein","Ja(?)"))</f>
        <v>Ja</v>
      </c>
      <c r="E16" s="19" t="s">
        <v>40</v>
      </c>
      <c r="F16" s="2">
        <f>IF(PKH_sum&lt;=250,15+INT((PKH_sum-1)/50)*15,0)</f>
        <v>-15</v>
      </c>
      <c r="G16" s="2">
        <f>IF(EU&gt;2,PKH_25,PKH_15)</f>
        <v>0</v>
      </c>
      <c r="H16" s="10" t="s">
        <v>94</v>
      </c>
    </row>
    <row r="17" spans="1:8" ht="12.75">
      <c r="A17" s="5" t="s">
        <v>19</v>
      </c>
      <c r="B17" s="5"/>
      <c r="C17" s="5"/>
      <c r="D17" s="65" t="str">
        <f>IF(PKH_sum&lt;=15,"Keine",MAX(PKH_15h,PKH_10h,PKH_03h))</f>
        <v>Keine</v>
      </c>
      <c r="E17" s="67">
        <v>569</v>
      </c>
      <c r="F17" s="2">
        <f>IF((EA+K_X+Heim)&gt;5,5,EA+K_X+Heim)</f>
        <v>0</v>
      </c>
      <c r="G17" s="2">
        <f>IF(PKH_erg&lt;=ROUND(ROUND(BSHG_79*0.64,0)*PKH_max,2),PKH_erg,ROUND(ROUND(BSHG_79*0.64,0)*PKH_max,2))</f>
        <v>0</v>
      </c>
      <c r="H17" s="3" t="s">
        <v>95</v>
      </c>
    </row>
    <row r="18" spans="1:8" ht="12.75">
      <c r="A18" s="5" t="s">
        <v>20</v>
      </c>
      <c r="B18" s="5"/>
      <c r="C18" s="5"/>
      <c r="D18" s="65">
        <f>IF((Lohn+Einkommen_m)&gt;2851,Lohn+Einkommen_m-2851+(2850-Pf_Min)-(2850-Pf_Min)*Pf_Faktor,IF((Lohn+Einkommen_m)&lt;940,0,Pf_Summe-Pf_Summe*Pf_Faktor))</f>
        <v>0</v>
      </c>
      <c r="E18" s="5"/>
      <c r="F18" s="2">
        <f>IF(Pf_5Kinder&lt;2,925+340*Pf_5Kinder,925+340+190*(Pf_5Kinder-1))</f>
        <v>925</v>
      </c>
      <c r="G18" s="2">
        <f>INT((Lohn-PKH_mbE+Einkommen_m+KG_m+HzL-(ROUND(BSHG_79*0.64,0)+ROUND(BSHG_79*0.64,0)*EA+ROUND(BSHG_79*0.45,0)*K_X+MB_K+MB_EU+Miete+Heizung)))</f>
        <v>-68</v>
      </c>
      <c r="H18" s="10" t="s">
        <v>96</v>
      </c>
    </row>
    <row r="19" spans="1:8" ht="12.75">
      <c r="A19" s="5" t="s">
        <v>21</v>
      </c>
      <c r="B19" s="5"/>
      <c r="C19" s="5"/>
      <c r="D19" s="66" t="str">
        <f>IF(INT(Sozialhilfe+RS_Summe*25/100)&lt;-1,-1-INT(Sozialhilfe+RS_Summe*25/100),"Nichts")</f>
        <v>Nichts</v>
      </c>
      <c r="E19" s="5"/>
      <c r="F19" s="2">
        <f>IF((INT((Lohn+Einkommen_m)/10)*10-Pf_Min)&gt;0,INT((Lohn+Einkommen_m)/10)*10-Pf_Min,0)</f>
        <v>0</v>
      </c>
      <c r="G19" s="2">
        <f>IF(Sozialhilfe&gt;0,Sozialhilfe,0)</f>
        <v>296</v>
      </c>
      <c r="H19" s="3" t="s">
        <v>97</v>
      </c>
    </row>
    <row r="20" spans="1:8" ht="12.75">
      <c r="A20" s="25" t="s">
        <v>22</v>
      </c>
      <c r="B20" s="12"/>
      <c r="C20" s="13" t="s">
        <v>23</v>
      </c>
      <c r="D20" s="14" t="s">
        <v>24</v>
      </c>
      <c r="E20" s="3"/>
      <c r="F20" s="2">
        <f>IF(Pf_5Kinder&lt;2,(3+2*Pf_5Kinder)/10,(3+2+Pf_5Kinder-1)/10)</f>
        <v>0.3</v>
      </c>
      <c r="G20" s="8">
        <f>RS/2+RS_Summe+Miete</f>
        <v>444</v>
      </c>
      <c r="H20" s="3" t="s">
        <v>25</v>
      </c>
    </row>
    <row r="21" spans="1:8" ht="12.75">
      <c r="A21" s="3" t="s">
        <v>26</v>
      </c>
      <c r="B21" s="1" t="s">
        <v>27</v>
      </c>
      <c r="C21" s="49">
        <f>ALU</f>
        <v>0</v>
      </c>
      <c r="D21" s="50">
        <f>Lohn+Rente+KG+HzL</f>
        <v>296</v>
      </c>
      <c r="E21" s="15"/>
      <c r="F21" s="6" t="str">
        <f>IF(GEZ_Einkommen&gt;GEZ_Bedarf,"Nein","Ja")</f>
        <v>Ja</v>
      </c>
      <c r="G21" s="2">
        <f>IF(Lohn&lt;10,Lohn_m+Einkommen_m+KG_m,Lohn-10+KG_m+KG_m)</f>
        <v>0</v>
      </c>
      <c r="H21" s="3" t="s">
        <v>28</v>
      </c>
    </row>
    <row r="22" spans="1:8" ht="12.75">
      <c r="A22" s="3" t="s">
        <v>14</v>
      </c>
      <c r="B22" s="1" t="s">
        <v>27</v>
      </c>
      <c r="C22" s="51"/>
      <c r="D22" s="52"/>
      <c r="E22" s="15"/>
      <c r="G22" s="5"/>
      <c r="H22" s="10" t="s">
        <v>29</v>
      </c>
    </row>
    <row r="23" spans="1:8" ht="12.75">
      <c r="A23" s="3" t="s">
        <v>30</v>
      </c>
      <c r="B23" s="1" t="s">
        <v>27</v>
      </c>
      <c r="C23" s="53"/>
      <c r="D23" s="54">
        <f>Miete+Heizung-Wohngeld</f>
        <v>0</v>
      </c>
      <c r="E23" s="16"/>
      <c r="F23" s="2"/>
      <c r="G23" s="5"/>
      <c r="H23" s="3" t="s">
        <v>100</v>
      </c>
    </row>
    <row r="24" spans="1:8" ht="12.75">
      <c r="A24" s="3" t="s">
        <v>31</v>
      </c>
      <c r="B24" s="9" t="s">
        <v>27</v>
      </c>
      <c r="C24" s="53"/>
      <c r="D24" s="55"/>
      <c r="E24" s="17"/>
      <c r="F24" s="4"/>
      <c r="G24" s="5"/>
      <c r="H24" s="10" t="s">
        <v>32</v>
      </c>
    </row>
    <row r="25" spans="1:8" ht="12.75">
      <c r="A25" s="5" t="s">
        <v>33</v>
      </c>
      <c r="B25" s="1" t="s">
        <v>27</v>
      </c>
      <c r="C25" s="56">
        <f>IF(GEZ_Befreiung="Ja",0,ROUND(48.45/13,2))</f>
        <v>0</v>
      </c>
      <c r="D25" s="57"/>
      <c r="E25" s="16"/>
      <c r="F25" s="4"/>
      <c r="G25" s="2"/>
      <c r="H25" s="3" t="s">
        <v>98</v>
      </c>
    </row>
    <row r="26" spans="1:8" ht="12.75">
      <c r="A26" s="3" t="s">
        <v>34</v>
      </c>
      <c r="B26" s="1" t="s">
        <v>27</v>
      </c>
      <c r="C26" s="58"/>
      <c r="D26" s="59"/>
      <c r="E26" s="18"/>
      <c r="F26" s="7"/>
      <c r="G26" s="5"/>
      <c r="H26" s="3" t="s">
        <v>35</v>
      </c>
    </row>
    <row r="27" spans="1:8" ht="12.75">
      <c r="A27" s="5" t="s">
        <v>36</v>
      </c>
      <c r="B27" s="1" t="s">
        <v>27</v>
      </c>
      <c r="C27" s="60"/>
      <c r="D27" s="61"/>
      <c r="E27" s="18"/>
      <c r="F27" s="7"/>
      <c r="G27" s="5"/>
      <c r="H27" s="11" t="s">
        <v>37</v>
      </c>
    </row>
    <row r="28" spans="1:8" ht="12.75">
      <c r="A28" s="26" t="s">
        <v>38</v>
      </c>
      <c r="B28" s="27" t="s">
        <v>11</v>
      </c>
      <c r="C28" s="62">
        <f>D28*3/13</f>
        <v>68.3076923076923</v>
      </c>
      <c r="D28" s="63">
        <f>SUM(D21:D22)-SUM(D23:D27)+(SUM(C21:C22)-SUM(C23:C27))*13/3</f>
        <v>296</v>
      </c>
      <c r="E28" s="63">
        <f>C28/7</f>
        <v>9.758241758241757</v>
      </c>
      <c r="F28" s="7"/>
      <c r="G28" s="5"/>
      <c r="H28" s="3" t="s">
        <v>99</v>
      </c>
    </row>
  </sheetData>
  <printOptions gridLines="1"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workbookViewId="0" topLeftCell="A1">
      <selection activeCell="B2" sqref="B2"/>
    </sheetView>
  </sheetViews>
  <sheetFormatPr defaultColWidth="11.421875" defaultRowHeight="12.75"/>
  <cols>
    <col min="1" max="1" width="10.00390625" style="5" customWidth="1"/>
    <col min="2" max="2" width="10.421875" style="10" customWidth="1"/>
    <col min="3" max="3" width="1.8515625" style="9" customWidth="1"/>
    <col min="4" max="4" width="10.421875" style="10" customWidth="1"/>
    <col min="5" max="11" width="10.421875" style="5" hidden="1" customWidth="1"/>
    <col min="12" max="23" width="10.421875" style="0" hidden="1" customWidth="1"/>
    <col min="24" max="24" width="10.421875" style="0" customWidth="1"/>
    <col min="25" max="16384" width="10.421875" style="0" bestFit="1" customWidth="1"/>
  </cols>
  <sheetData>
    <row r="1" spans="1:23" ht="12.75">
      <c r="A1" s="68" t="s">
        <v>44</v>
      </c>
      <c r="B1" s="69" t="s">
        <v>45</v>
      </c>
      <c r="C1" s="70">
        <v>5</v>
      </c>
      <c r="D1" s="71" t="str">
        <f>IF(Stufe=1,E1,IF(Stufe=2,F1,IF(Stufe=3,G1,IF(Stufe=4,H1,IF(Stufe=5,I1,IF(Stufe=6,J1,"FEHLER"))))))</f>
        <v>(Düsseldorf)</v>
      </c>
      <c r="E1" s="9" t="s">
        <v>46</v>
      </c>
      <c r="F1" s="9" t="s">
        <v>47</v>
      </c>
      <c r="G1" s="9" t="s">
        <v>48</v>
      </c>
      <c r="H1" s="9" t="s">
        <v>49</v>
      </c>
      <c r="I1" s="9" t="s">
        <v>50</v>
      </c>
      <c r="J1" s="9" t="s">
        <v>51</v>
      </c>
      <c r="K1" s="72">
        <v>312.93</v>
      </c>
      <c r="L1" s="73">
        <v>420.5</v>
      </c>
      <c r="M1" s="73">
        <v>498.74</v>
      </c>
      <c r="N1" s="73">
        <v>576.97</v>
      </c>
      <c r="O1" s="73">
        <v>655.2</v>
      </c>
      <c r="P1" s="73">
        <f>655.2+78.23</f>
        <v>733.4300000000001</v>
      </c>
      <c r="R1" s="73">
        <v>381.39</v>
      </c>
      <c r="S1" s="73">
        <v>508.52</v>
      </c>
      <c r="T1" s="73">
        <v>606.31</v>
      </c>
      <c r="U1" s="73">
        <v>704.1</v>
      </c>
      <c r="V1" s="73">
        <v>811.67</v>
      </c>
      <c r="W1" s="73">
        <f>811.67+97.79</f>
        <v>909.4599999999999</v>
      </c>
    </row>
    <row r="2" spans="1:23" ht="12.75">
      <c r="A2" s="74" t="s">
        <v>52</v>
      </c>
      <c r="B2" s="75"/>
      <c r="C2" s="76"/>
      <c r="D2" s="77"/>
      <c r="E2" s="78">
        <f>6.3/100</f>
        <v>0.063</v>
      </c>
      <c r="F2" s="78">
        <f>5.7/100</f>
        <v>0.057</v>
      </c>
      <c r="G2" s="78">
        <f>5.5/100</f>
        <v>0.055</v>
      </c>
      <c r="H2" s="78">
        <f>4.7/100</f>
        <v>0.047</v>
      </c>
      <c r="I2" s="78">
        <f>4.2/100</f>
        <v>0.042</v>
      </c>
      <c r="J2" s="78">
        <f>3.7/100</f>
        <v>0.037000000000000005</v>
      </c>
      <c r="K2" s="72">
        <v>391.17</v>
      </c>
      <c r="L2" s="73">
        <v>518.29</v>
      </c>
      <c r="M2" s="73">
        <v>625.87</v>
      </c>
      <c r="N2" s="73">
        <v>723.66</v>
      </c>
      <c r="O2" s="73">
        <v>821.45</v>
      </c>
      <c r="P2" s="73">
        <f>821.45+97.79</f>
        <v>919.24</v>
      </c>
      <c r="R2" s="79">
        <v>479.18</v>
      </c>
      <c r="S2" s="79">
        <v>635.64</v>
      </c>
      <c r="T2" s="79">
        <v>762.77</v>
      </c>
      <c r="U2" s="79">
        <v>889.9</v>
      </c>
      <c r="V2" s="79">
        <v>1007.25</v>
      </c>
      <c r="W2" s="79">
        <f>1007.25+127.13</f>
        <v>1134.38</v>
      </c>
    </row>
    <row r="3" spans="1:23" ht="12.75">
      <c r="A3" s="74" t="s">
        <v>53</v>
      </c>
      <c r="B3" s="80"/>
      <c r="C3" s="81" t="s">
        <v>54</v>
      </c>
      <c r="D3" s="82" t="s">
        <v>8</v>
      </c>
      <c r="E3" s="78">
        <f>7.963/10000</f>
        <v>0.0007963</v>
      </c>
      <c r="F3" s="78">
        <f>5.761/10000</f>
        <v>0.0005761</v>
      </c>
      <c r="G3" s="78">
        <f>5.176/10000</f>
        <v>0.0005176</v>
      </c>
      <c r="H3" s="78">
        <f>3.945/10000</f>
        <v>0.0003945</v>
      </c>
      <c r="I3" s="78">
        <f>3.483/10000</f>
        <v>0.0003483</v>
      </c>
      <c r="J3" s="78">
        <f>3.269/10000</f>
        <v>0.00032690000000000003</v>
      </c>
      <c r="K3" s="72">
        <v>420.5</v>
      </c>
      <c r="L3" s="73">
        <v>567.19</v>
      </c>
      <c r="M3" s="73">
        <v>674.76</v>
      </c>
      <c r="N3" s="73">
        <v>782.33</v>
      </c>
      <c r="O3" s="73">
        <v>889.9</v>
      </c>
      <c r="P3" s="73">
        <f>889.9+107.57</f>
        <v>997.47</v>
      </c>
      <c r="R3" s="79">
        <v>518.29</v>
      </c>
      <c r="S3" s="79">
        <v>694.32</v>
      </c>
      <c r="T3" s="79">
        <v>821.45</v>
      </c>
      <c r="U3" s="79">
        <v>958.36</v>
      </c>
      <c r="V3" s="79">
        <v>1095.26</v>
      </c>
      <c r="W3" s="79">
        <f>1095.26+136.91</f>
        <v>1232.17</v>
      </c>
    </row>
    <row r="4" spans="1:23" ht="12.75">
      <c r="A4" s="74" t="s">
        <v>55</v>
      </c>
      <c r="B4" s="80"/>
      <c r="C4" s="30" t="s">
        <v>9</v>
      </c>
      <c r="D4" s="83"/>
      <c r="E4" s="78">
        <f>9.102/100000</f>
        <v>9.102E-05</v>
      </c>
      <c r="F4" s="78">
        <f>6.431/100000</f>
        <v>6.431E-05</v>
      </c>
      <c r="G4" s="78">
        <f>3.25/100000</f>
        <v>3.25E-05</v>
      </c>
      <c r="H4" s="78">
        <f>2.325/100000</f>
        <v>2.3250000000000003E-05</v>
      </c>
      <c r="I4" s="78">
        <f>2.151/100000</f>
        <v>2.151E-05</v>
      </c>
      <c r="J4" s="78">
        <f>1.519/100000</f>
        <v>1.5189999999999999E-05</v>
      </c>
      <c r="K4" s="72">
        <v>518.29</v>
      </c>
      <c r="L4" s="73">
        <v>625.87</v>
      </c>
      <c r="M4" s="73">
        <v>752.99</v>
      </c>
      <c r="N4" s="73">
        <v>870.34</v>
      </c>
      <c r="O4" s="73">
        <v>997.47</v>
      </c>
      <c r="P4" s="73">
        <f>997.47+117.35</f>
        <v>1114.82</v>
      </c>
      <c r="R4" s="79">
        <v>635.64</v>
      </c>
      <c r="S4" s="79">
        <v>772.55</v>
      </c>
      <c r="T4" s="79">
        <v>919.24</v>
      </c>
      <c r="U4" s="79">
        <v>1065.93</v>
      </c>
      <c r="V4" s="79">
        <v>1222.39</v>
      </c>
      <c r="W4" s="79">
        <f>1222.39+146.69</f>
        <v>1369.0800000000002</v>
      </c>
    </row>
    <row r="5" spans="1:23" ht="12.75">
      <c r="A5" s="74" t="s">
        <v>56</v>
      </c>
      <c r="B5" s="80"/>
      <c r="C5" s="76"/>
      <c r="D5" s="84"/>
      <c r="E5" s="78">
        <f>IF(f=1,a_1,IF(f=2,a_2,IF(f=3,a_3,IF(f=4,a_4,IF(f=5,a_5,a_6)))))</f>
        <v>0.063</v>
      </c>
      <c r="F5" s="7"/>
      <c r="K5" s="72"/>
      <c r="L5" s="73"/>
      <c r="M5" s="73"/>
      <c r="N5" s="73"/>
      <c r="O5" s="73"/>
      <c r="P5" s="73"/>
      <c r="R5" s="73"/>
      <c r="S5" s="73"/>
      <c r="T5" s="73"/>
      <c r="U5" s="73"/>
      <c r="V5" s="73"/>
      <c r="W5" s="73"/>
    </row>
    <row r="6" spans="1:23" ht="12.75">
      <c r="A6" s="74" t="s">
        <v>57</v>
      </c>
      <c r="B6" s="85"/>
      <c r="C6" s="9" t="s">
        <v>58</v>
      </c>
      <c r="D6" s="86">
        <f>wk_30+wk_20+wk_10+wk_6</f>
        <v>0</v>
      </c>
      <c r="E6" s="78">
        <f>IF(f=1,b_1,IF(f=2,b_2,IF(f=3,b_3,IF(f=4,b_4,IF(f=5,b_5,b_6)))))</f>
        <v>0.0007963</v>
      </c>
      <c r="F6" s="87">
        <f>wk+wk_p</f>
        <v>0</v>
      </c>
      <c r="G6" s="87">
        <f>IF(e_30&lt;87,e_30,ROUND(1044/12,2))</f>
        <v>0</v>
      </c>
      <c r="H6" s="87">
        <f>IF(e_20&lt;87,e_20,ROUND(1044/12,2))</f>
        <v>0</v>
      </c>
      <c r="I6" s="87">
        <f>IF(e_10&lt;8.5,e_10,ROUND(102/12,2))</f>
        <v>0</v>
      </c>
      <c r="J6" s="87">
        <v>0</v>
      </c>
      <c r="K6" s="79">
        <v>332.49</v>
      </c>
      <c r="L6" s="79">
        <v>440.06</v>
      </c>
      <c r="M6" s="79">
        <v>528.07</v>
      </c>
      <c r="N6" s="79">
        <v>616.09</v>
      </c>
      <c r="O6" s="79">
        <v>704.1</v>
      </c>
      <c r="P6" s="79">
        <f>704.1+88.01</f>
        <v>792.11</v>
      </c>
      <c r="R6" s="73">
        <v>410.72</v>
      </c>
      <c r="S6" s="73">
        <v>547.63</v>
      </c>
      <c r="T6" s="73">
        <v>655.2</v>
      </c>
      <c r="U6" s="73">
        <v>762.77</v>
      </c>
      <c r="V6" s="73">
        <v>870.34</v>
      </c>
      <c r="W6" s="73">
        <f>870.34+107.57</f>
        <v>977.9100000000001</v>
      </c>
    </row>
    <row r="7" spans="1:23" ht="12.75">
      <c r="A7" s="74" t="s">
        <v>59</v>
      </c>
      <c r="B7" s="88">
        <v>0</v>
      </c>
      <c r="C7" s="89" t="s">
        <v>11</v>
      </c>
      <c r="D7" s="90">
        <f>IF(B7&gt;0,IF((e_30+e_20+e_10+e_6-wk_s-(e_30-wk-wk_30)*0.3-(e_20-wk_20)*0.2-(e_10-wk_10)*0.1-(e_6-wk_6)*0.06-fb)&gt;B7*125,B7*125,"FEHLER"),0)</f>
        <v>0</v>
      </c>
      <c r="E7" s="78">
        <f>IF(f=1,c_1,IF(f=2,c_2,IF(f=3,c_3,IF(f=4,c_4,IF(f=5,c_5,c_6)))))</f>
        <v>9.102E-05</v>
      </c>
      <c r="F7" s="7"/>
      <c r="K7" s="79">
        <v>410.72</v>
      </c>
      <c r="L7" s="79">
        <v>557.41</v>
      </c>
      <c r="M7" s="79">
        <v>664.98</v>
      </c>
      <c r="N7" s="79">
        <v>772.55</v>
      </c>
      <c r="O7" s="79">
        <v>880.12</v>
      </c>
      <c r="P7" s="79">
        <f>880.12+107.57</f>
        <v>987.69</v>
      </c>
      <c r="R7" s="79">
        <v>508.52</v>
      </c>
      <c r="S7" s="79">
        <v>684.54</v>
      </c>
      <c r="T7" s="79">
        <v>821.45</v>
      </c>
      <c r="U7" s="79">
        <v>948.58</v>
      </c>
      <c r="V7" s="79">
        <v>1085.49</v>
      </c>
      <c r="W7" s="79">
        <f>1085.49+136.91</f>
        <v>1222.4</v>
      </c>
    </row>
    <row r="8" spans="1:23" ht="12.75">
      <c r="A8" s="74" t="s">
        <v>60</v>
      </c>
      <c r="B8" s="91"/>
      <c r="E8" s="79">
        <f>M-(a+b*M+c*Y)*Y</f>
        <v>0.3127245</v>
      </c>
      <c r="F8" s="90">
        <f>IF(F10&gt;0,F10,0)</f>
        <v>0</v>
      </c>
      <c r="G8" s="79">
        <f>IF(bj=0,E11,IF(bj=1,E12,IF(bj=2,E13,IF(bj=3,E14,"FEHLER"))))</f>
        <v>557.41</v>
      </c>
      <c r="H8" s="79">
        <f>IF(bj=0,F11,IF(bj=1,F12,IF(bj=2,F13,IF(bj=3,F14,"FEHLER"))))</f>
        <v>743.22</v>
      </c>
      <c r="I8" s="79">
        <f>IF(bj=0,G11,IF(bj=1,G12,IF(bj=2,G13,IF(bj=3,G14,"FEHLER"))))</f>
        <v>889.9</v>
      </c>
      <c r="K8" s="79">
        <v>449.84</v>
      </c>
      <c r="L8" s="79">
        <v>606.31</v>
      </c>
      <c r="M8" s="79">
        <v>713.88</v>
      </c>
      <c r="N8" s="79">
        <v>831.23</v>
      </c>
      <c r="O8" s="79">
        <v>948.58</v>
      </c>
      <c r="P8" s="79">
        <f>948.58+117.35</f>
        <v>1065.93</v>
      </c>
      <c r="R8" s="79">
        <v>557.41</v>
      </c>
      <c r="S8" s="79">
        <v>743.22</v>
      </c>
      <c r="T8" s="79">
        <v>889.9</v>
      </c>
      <c r="U8" s="79">
        <v>1026.81</v>
      </c>
      <c r="V8" s="79">
        <v>1173.5</v>
      </c>
      <c r="W8" s="79">
        <f>1173.5+146.69</f>
        <v>1320.19</v>
      </c>
    </row>
    <row r="9" spans="1:23" ht="12.75">
      <c r="A9" s="74" t="s">
        <v>61</v>
      </c>
      <c r="B9" s="92">
        <f>Miete</f>
        <v>0</v>
      </c>
      <c r="E9" s="79"/>
      <c r="F9" s="79">
        <f>IF((B13/10)=0,B13-5,INT(B13/10)*10+5)</f>
        <v>-5</v>
      </c>
      <c r="G9" s="79">
        <f>IF(bj=0,H11,IF(bj=1,H12,IF(bj=2,H13,IF(bj=3,H14,"FEHLER"))))</f>
        <v>1026.81</v>
      </c>
      <c r="H9" s="79">
        <f>IF(bj=0,I11,IF(bj=1,I12,IF(bj=2,I13,IF(bj=3,I14,"FEHLER"))))</f>
        <v>1173.5</v>
      </c>
      <c r="I9" s="79">
        <f>IF(bj=0,J11,IF(bj=1,J12,IF(bj=2,J13,IF(bj=3,J14,"FEHLER"))))</f>
        <v>1320.19</v>
      </c>
      <c r="K9" s="72">
        <v>547.63</v>
      </c>
      <c r="L9" s="73">
        <v>674.76</v>
      </c>
      <c r="M9" s="73">
        <v>801.89</v>
      </c>
      <c r="N9" s="73">
        <v>929.02</v>
      </c>
      <c r="O9" s="73">
        <v>1065.93</v>
      </c>
      <c r="P9" s="73">
        <f>1065.93+127.13</f>
        <v>1193.06</v>
      </c>
      <c r="R9" s="79">
        <v>684.54</v>
      </c>
      <c r="S9" s="79">
        <v>831.23</v>
      </c>
      <c r="T9" s="79">
        <v>987.69</v>
      </c>
      <c r="U9" s="79">
        <v>1153.94</v>
      </c>
      <c r="V9" s="79">
        <v>1310.41</v>
      </c>
      <c r="W9" s="79">
        <f>1310.41+156.47</f>
        <v>1466.88</v>
      </c>
    </row>
    <row r="10" spans="1:23" ht="12.75">
      <c r="A10" s="74" t="s">
        <v>62</v>
      </c>
      <c r="B10" s="93">
        <v>2</v>
      </c>
      <c r="C10" s="94" t="s">
        <v>11</v>
      </c>
      <c r="D10" s="95" t="str">
        <f>IF(B10=3,"ab 1992",IF(B10=2,"1966 - 1991",IF(B10=1,"bis 1965",IF(B10=0,"Altbau - '65","FEHLER"))))</f>
        <v>1966 - 1991</v>
      </c>
      <c r="F10" s="79">
        <f>IF((B12/10)=0,B12-5,INT(B12/10)*10+5)</f>
        <v>-5</v>
      </c>
      <c r="K10" s="72"/>
      <c r="L10" s="73"/>
      <c r="M10" s="73"/>
      <c r="N10" s="73"/>
      <c r="O10" s="73"/>
      <c r="P10" s="73"/>
      <c r="R10" s="73"/>
      <c r="S10" s="73"/>
      <c r="T10" s="73"/>
      <c r="U10" s="73"/>
      <c r="V10" s="73"/>
      <c r="W10" s="73"/>
    </row>
    <row r="11" spans="1:23" ht="12.75">
      <c r="A11" s="74" t="s">
        <v>63</v>
      </c>
      <c r="B11" s="96">
        <f>HV+EA+K_7+K_14+K_16+K_18+K_21</f>
        <v>1</v>
      </c>
      <c r="C11" s="89" t="s">
        <v>11</v>
      </c>
      <c r="D11" s="90">
        <f>IF(f=1,bj_1/1.95583,IF(f=2,bj_2/1.95583,IF(f=3,bj_3/1.95583,IF(f=4,bj_4/1.95583,IF(f=5,bj_5/1.95583,IF(f=6,bj_6/1.95583,"FEHLER"))))))</f>
        <v>284.9992074975841</v>
      </c>
      <c r="E11" s="72">
        <f aca="true" t="shared" si="0" ref="E11:J14">IF(Stufe=1,K1,IF(Stufe=2,K6,IF(Stufe=3,K11,IF(Stufe=4,R1,IF(Stufe=5,R6,IF(Stufe=6,R11,"FEHLER"))))))</f>
        <v>410.72</v>
      </c>
      <c r="F11" s="72">
        <f t="shared" si="0"/>
        <v>547.63</v>
      </c>
      <c r="G11" s="72">
        <f t="shared" si="0"/>
        <v>655.2</v>
      </c>
      <c r="H11" s="72">
        <f t="shared" si="0"/>
        <v>762.77</v>
      </c>
      <c r="I11" s="72">
        <f t="shared" si="0"/>
        <v>870.34</v>
      </c>
      <c r="J11" s="72">
        <f t="shared" si="0"/>
        <v>977.9100000000001</v>
      </c>
      <c r="K11" s="72">
        <v>352.05</v>
      </c>
      <c r="L11" s="73">
        <v>469.4</v>
      </c>
      <c r="M11" s="73">
        <v>567.19</v>
      </c>
      <c r="N11" s="73">
        <v>655.2</v>
      </c>
      <c r="O11" s="73">
        <v>743.22</v>
      </c>
      <c r="P11" s="73">
        <f>743.22+88.01</f>
        <v>831.23</v>
      </c>
      <c r="R11" s="73">
        <v>440.06</v>
      </c>
      <c r="S11" s="73">
        <v>586.75</v>
      </c>
      <c r="T11" s="73">
        <v>704.1</v>
      </c>
      <c r="U11" s="73">
        <v>811.67</v>
      </c>
      <c r="V11" s="73">
        <v>929.02</v>
      </c>
      <c r="W11" s="73">
        <f>929.02+117.35</f>
        <v>1046.37</v>
      </c>
    </row>
    <row r="12" spans="1:23" ht="12.75">
      <c r="A12" s="74" t="s">
        <v>64</v>
      </c>
      <c r="B12" s="90">
        <f>IF(B9&gt;D11,D11,B9)</f>
        <v>0</v>
      </c>
      <c r="C12" s="97"/>
      <c r="E12" s="72">
        <f t="shared" si="0"/>
        <v>508.52</v>
      </c>
      <c r="F12" s="72">
        <f t="shared" si="0"/>
        <v>684.54</v>
      </c>
      <c r="G12" s="72">
        <f t="shared" si="0"/>
        <v>821.45</v>
      </c>
      <c r="H12" s="72">
        <f t="shared" si="0"/>
        <v>948.58</v>
      </c>
      <c r="I12" s="72">
        <f t="shared" si="0"/>
        <v>1085.49</v>
      </c>
      <c r="J12" s="72">
        <f t="shared" si="0"/>
        <v>1222.4</v>
      </c>
      <c r="K12" s="72">
        <v>440.06</v>
      </c>
      <c r="L12" s="73">
        <v>586.75</v>
      </c>
      <c r="M12" s="73">
        <v>704.1</v>
      </c>
      <c r="N12" s="73">
        <v>821.45</v>
      </c>
      <c r="O12" s="73">
        <v>938.8</v>
      </c>
      <c r="P12" s="73">
        <f>938.8+117.35</f>
        <v>1056.1499999999999</v>
      </c>
      <c r="R12" s="73">
        <v>547.63</v>
      </c>
      <c r="S12" s="73">
        <v>733.44</v>
      </c>
      <c r="T12" s="73">
        <v>870.34</v>
      </c>
      <c r="U12" s="73">
        <v>1017.03</v>
      </c>
      <c r="V12" s="73">
        <v>1163.72</v>
      </c>
      <c r="W12" s="73">
        <f>1163.72+146.69</f>
        <v>1310.41</v>
      </c>
    </row>
    <row r="13" spans="1:23" ht="12.75">
      <c r="A13" s="74" t="s">
        <v>65</v>
      </c>
      <c r="B13" s="90">
        <f>e_30+e_20+e_10+e_6-wk_s-(e_30-wk-wk_30)*0.3-(e_20-wk_20)*0.2-(e_10-wk_10)*0.1-(e_6-wk_6)*0.06-sb-fb</f>
        <v>0</v>
      </c>
      <c r="C13" s="89"/>
      <c r="D13" s="142" t="s">
        <v>123</v>
      </c>
      <c r="E13" s="72">
        <f t="shared" si="0"/>
        <v>557.41</v>
      </c>
      <c r="F13" s="72">
        <f t="shared" si="0"/>
        <v>743.22</v>
      </c>
      <c r="G13" s="72">
        <f t="shared" si="0"/>
        <v>889.9</v>
      </c>
      <c r="H13" s="72">
        <f t="shared" si="0"/>
        <v>1026.81</v>
      </c>
      <c r="I13" s="72">
        <f t="shared" si="0"/>
        <v>1173.5</v>
      </c>
      <c r="J13" s="72">
        <f t="shared" si="0"/>
        <v>1320.19</v>
      </c>
      <c r="K13" s="72">
        <v>479.18</v>
      </c>
      <c r="L13" s="73">
        <v>645.42</v>
      </c>
      <c r="M13" s="73">
        <v>762.77</v>
      </c>
      <c r="N13" s="73">
        <v>889.9</v>
      </c>
      <c r="O13" s="73">
        <v>1017.03</v>
      </c>
      <c r="P13" s="73">
        <f>1017.03+127.13</f>
        <v>1144.1599999999999</v>
      </c>
      <c r="R13" s="73">
        <v>596.53</v>
      </c>
      <c r="S13" s="73">
        <v>792.11</v>
      </c>
      <c r="T13" s="73">
        <v>948.58</v>
      </c>
      <c r="U13" s="73">
        <v>1105.04</v>
      </c>
      <c r="V13" s="73">
        <v>1251.73</v>
      </c>
      <c r="W13" s="73">
        <f>1251.73+156.47</f>
        <v>1408.2</v>
      </c>
    </row>
    <row r="14" spans="1:23" ht="12.75">
      <c r="A14" s="98" t="s">
        <v>66</v>
      </c>
      <c r="B14" s="99">
        <f>IF(D14&lt;10,0,D14)</f>
        <v>0</v>
      </c>
      <c r="C14" s="97"/>
      <c r="D14" s="142">
        <f>IF(EinkommenWoG=0,0,IF(E8&gt;=0.5,ROUND(E8,0),0))</f>
        <v>0</v>
      </c>
      <c r="E14" s="72">
        <f t="shared" si="0"/>
        <v>684.54</v>
      </c>
      <c r="F14" s="72">
        <f t="shared" si="0"/>
        <v>831.23</v>
      </c>
      <c r="G14" s="72">
        <f t="shared" si="0"/>
        <v>987.69</v>
      </c>
      <c r="H14" s="72">
        <f t="shared" si="0"/>
        <v>1153.94</v>
      </c>
      <c r="I14" s="72">
        <f t="shared" si="0"/>
        <v>1310.41</v>
      </c>
      <c r="J14" s="72">
        <f t="shared" si="0"/>
        <v>1466.88</v>
      </c>
      <c r="K14" s="72">
        <v>586.75</v>
      </c>
      <c r="L14" s="73">
        <v>713.88</v>
      </c>
      <c r="M14" s="73">
        <v>850.79</v>
      </c>
      <c r="N14" s="73">
        <v>987.69</v>
      </c>
      <c r="O14" s="73">
        <v>1143.38</v>
      </c>
      <c r="P14" s="73">
        <f>1143.38+136.91</f>
        <v>1280.2900000000002</v>
      </c>
      <c r="R14" s="73">
        <v>723.66</v>
      </c>
      <c r="S14" s="73">
        <v>889.9</v>
      </c>
      <c r="T14" s="73">
        <v>1056.15</v>
      </c>
      <c r="U14" s="73">
        <v>1232.17</v>
      </c>
      <c r="V14" s="73">
        <v>1398.42</v>
      </c>
      <c r="W14" s="73">
        <f>1398.42+176.02</f>
        <v>1574.44</v>
      </c>
    </row>
    <row r="15" ht="12.75"/>
    <row r="16" ht="12.75"/>
  </sheetData>
  <printOptions gridLines="1"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9"/>
  <sheetViews>
    <sheetView workbookViewId="0" topLeftCell="A1">
      <pane ySplit="840" topLeftCell="BM3" activePane="bottomLeft" state="split"/>
      <selection pane="topLeft" activeCell="B1" sqref="B1"/>
      <selection pane="bottomLeft" activeCell="F4" sqref="F4"/>
    </sheetView>
  </sheetViews>
  <sheetFormatPr defaultColWidth="11.421875" defaultRowHeight="12.75"/>
  <cols>
    <col min="1" max="1" width="5.57421875" style="136" customWidth="1"/>
    <col min="2" max="2" width="9.7109375" style="137" customWidth="1"/>
    <col min="3" max="3" width="3.00390625" style="136" customWidth="1"/>
    <col min="4" max="4" width="32.00390625" style="138" customWidth="1"/>
    <col min="5" max="7" width="12.8515625" style="104" customWidth="1"/>
    <col min="8" max="16384" width="11.421875" style="105" customWidth="1"/>
  </cols>
  <sheetData>
    <row r="1" spans="1:4" ht="14.25">
      <c r="A1" s="100" t="s">
        <v>67</v>
      </c>
      <c r="B1" s="101">
        <v>0.2002</v>
      </c>
      <c r="C1" s="102"/>
      <c r="D1" s="103" t="s">
        <v>68</v>
      </c>
    </row>
    <row r="2" spans="1:7" s="109" customFormat="1" ht="15" thickBot="1">
      <c r="A2" s="106" t="s">
        <v>69</v>
      </c>
      <c r="B2" s="106" t="s">
        <v>70</v>
      </c>
      <c r="C2" s="106" t="s">
        <v>71</v>
      </c>
      <c r="D2" s="107" t="s">
        <v>72</v>
      </c>
      <c r="E2" s="108" t="s">
        <v>73</v>
      </c>
      <c r="F2" s="108" t="s">
        <v>74</v>
      </c>
      <c r="G2" s="108" t="s">
        <v>75</v>
      </c>
    </row>
    <row r="3" spans="1:7" s="114" customFormat="1" ht="14.25">
      <c r="A3" s="110"/>
      <c r="B3" s="111"/>
      <c r="C3" s="110"/>
      <c r="D3" s="112"/>
      <c r="E3" s="113"/>
      <c r="F3" s="113"/>
      <c r="G3" s="113"/>
    </row>
    <row r="4" spans="1:7" s="119" customFormat="1" ht="14.25">
      <c r="A4" s="115">
        <v>0</v>
      </c>
      <c r="B4" s="116" t="s">
        <v>120</v>
      </c>
      <c r="C4" s="115" t="s">
        <v>76</v>
      </c>
      <c r="D4" s="117" t="s">
        <v>81</v>
      </c>
      <c r="E4" s="139"/>
      <c r="F4" s="139"/>
      <c r="G4" s="118">
        <f>F4-E4</f>
        <v>0</v>
      </c>
    </row>
    <row r="5" spans="1:7" s="119" customFormat="1" ht="14.25">
      <c r="A5" s="115">
        <f aca="true" t="shared" si="0" ref="A5:A44">A4+1</f>
        <v>1</v>
      </c>
      <c r="B5" s="116"/>
      <c r="C5" s="115"/>
      <c r="D5" s="117"/>
      <c r="E5" s="118"/>
      <c r="F5" s="118"/>
      <c r="G5" s="118">
        <f aca="true" t="shared" si="1" ref="G5:G44">G4+F5-E5</f>
        <v>0</v>
      </c>
    </row>
    <row r="6" spans="1:7" s="119" customFormat="1" ht="14.25">
      <c r="A6" s="115">
        <f t="shared" si="0"/>
        <v>2</v>
      </c>
      <c r="B6" s="116"/>
      <c r="C6" s="115"/>
      <c r="D6" s="140" t="s">
        <v>101</v>
      </c>
      <c r="E6" s="118"/>
      <c r="F6" s="118"/>
      <c r="G6" s="118">
        <f t="shared" si="1"/>
        <v>0</v>
      </c>
    </row>
    <row r="7" spans="1:7" s="119" customFormat="1" ht="14.25">
      <c r="A7" s="115">
        <f t="shared" si="0"/>
        <v>3</v>
      </c>
      <c r="B7" s="116"/>
      <c r="C7" s="115"/>
      <c r="D7" s="117" t="s">
        <v>102</v>
      </c>
      <c r="E7" s="118"/>
      <c r="F7" s="118">
        <f>HzL!C11</f>
        <v>0</v>
      </c>
      <c r="G7" s="118">
        <f t="shared" si="1"/>
        <v>0</v>
      </c>
    </row>
    <row r="8" spans="1:7" s="119" customFormat="1" ht="14.25">
      <c r="A8" s="115">
        <f t="shared" si="0"/>
        <v>4</v>
      </c>
      <c r="B8" s="116"/>
      <c r="C8" s="115"/>
      <c r="D8" s="117" t="s">
        <v>103</v>
      </c>
      <c r="E8" s="118"/>
      <c r="F8" s="118">
        <f>HzL!C12</f>
        <v>0</v>
      </c>
      <c r="G8" s="118">
        <f t="shared" si="1"/>
        <v>0</v>
      </c>
    </row>
    <row r="9" spans="1:7" s="119" customFormat="1" ht="14.25">
      <c r="A9" s="115">
        <f t="shared" si="0"/>
        <v>5</v>
      </c>
      <c r="B9" s="116"/>
      <c r="C9" s="115"/>
      <c r="D9" s="117" t="s">
        <v>104</v>
      </c>
      <c r="E9" s="118"/>
      <c r="F9" s="118">
        <f>ROUND(HzL!D12*13/3,2)</f>
        <v>0</v>
      </c>
      <c r="G9" s="118">
        <f t="shared" si="1"/>
        <v>0</v>
      </c>
    </row>
    <row r="10" spans="1:7" s="119" customFormat="1" ht="14.25">
      <c r="A10" s="115">
        <f t="shared" si="0"/>
        <v>6</v>
      </c>
      <c r="B10" s="116"/>
      <c r="C10" s="115"/>
      <c r="D10" s="117" t="s">
        <v>15</v>
      </c>
      <c r="E10" s="118"/>
      <c r="F10" s="118">
        <f>HzL!C13</f>
        <v>0</v>
      </c>
      <c r="G10" s="118">
        <f t="shared" si="1"/>
        <v>0</v>
      </c>
    </row>
    <row r="11" spans="1:7" s="119" customFormat="1" ht="14.25">
      <c r="A11" s="115">
        <f t="shared" si="0"/>
        <v>7</v>
      </c>
      <c r="B11" s="116"/>
      <c r="C11" s="115"/>
      <c r="D11" s="117" t="s">
        <v>44</v>
      </c>
      <c r="E11" s="118"/>
      <c r="F11" s="118">
        <f>Wohngeld</f>
        <v>0</v>
      </c>
      <c r="G11" s="118">
        <f t="shared" si="1"/>
        <v>0</v>
      </c>
    </row>
    <row r="12" spans="1:7" s="119" customFormat="1" ht="14.25">
      <c r="A12" s="115">
        <f t="shared" si="0"/>
        <v>8</v>
      </c>
      <c r="B12" s="116"/>
      <c r="C12" s="115"/>
      <c r="D12" s="117" t="s">
        <v>16</v>
      </c>
      <c r="E12" s="118"/>
      <c r="F12" s="118">
        <f>HzL!G19</f>
        <v>296</v>
      </c>
      <c r="G12" s="118">
        <f t="shared" si="1"/>
        <v>296</v>
      </c>
    </row>
    <row r="13" spans="1:7" s="119" customFormat="1" ht="14.25">
      <c r="A13" s="115">
        <f t="shared" si="0"/>
        <v>9</v>
      </c>
      <c r="B13" s="116"/>
      <c r="C13" s="115"/>
      <c r="D13" s="117" t="s">
        <v>105</v>
      </c>
      <c r="E13" s="118"/>
      <c r="F13" s="118">
        <f>Eink_Mo</f>
        <v>0</v>
      </c>
      <c r="G13" s="118">
        <f t="shared" si="1"/>
        <v>296</v>
      </c>
    </row>
    <row r="14" spans="1:7" s="119" customFormat="1" ht="14.25">
      <c r="A14" s="115">
        <f t="shared" si="0"/>
        <v>10</v>
      </c>
      <c r="B14" s="116"/>
      <c r="C14" s="115"/>
      <c r="D14" s="117" t="s">
        <v>114</v>
      </c>
      <c r="E14" s="118"/>
      <c r="F14" s="118">
        <f>ROUND(Eink_Wo*13/3,2)</f>
        <v>0</v>
      </c>
      <c r="G14" s="118">
        <f t="shared" si="1"/>
        <v>296</v>
      </c>
    </row>
    <row r="15" spans="1:7" s="119" customFormat="1" ht="14.25">
      <c r="A15" s="115">
        <f t="shared" si="0"/>
        <v>11</v>
      </c>
      <c r="B15" s="116"/>
      <c r="C15" s="115"/>
      <c r="D15" s="117"/>
      <c r="E15" s="118"/>
      <c r="F15" s="118"/>
      <c r="G15" s="118">
        <f t="shared" si="1"/>
        <v>296</v>
      </c>
    </row>
    <row r="16" spans="1:7" s="119" customFormat="1" ht="14.25">
      <c r="A16" s="115">
        <f t="shared" si="0"/>
        <v>12</v>
      </c>
      <c r="B16" s="116"/>
      <c r="C16" s="115"/>
      <c r="D16" s="140" t="s">
        <v>106</v>
      </c>
      <c r="E16" s="118"/>
      <c r="F16" s="118"/>
      <c r="G16" s="118">
        <f t="shared" si="1"/>
        <v>296</v>
      </c>
    </row>
    <row r="17" spans="1:7" s="119" customFormat="1" ht="14.25">
      <c r="A17" s="115">
        <f t="shared" si="0"/>
        <v>13</v>
      </c>
      <c r="B17" s="116"/>
      <c r="C17" s="115"/>
      <c r="D17" s="117" t="s">
        <v>107</v>
      </c>
      <c r="E17" s="118">
        <f>HzL!C9</f>
        <v>0</v>
      </c>
      <c r="F17" s="118"/>
      <c r="G17" s="118">
        <f t="shared" si="1"/>
        <v>296</v>
      </c>
    </row>
    <row r="18" spans="1:7" s="119" customFormat="1" ht="14.25">
      <c r="A18" s="115">
        <f t="shared" si="0"/>
        <v>14</v>
      </c>
      <c r="B18" s="116"/>
      <c r="C18" s="115"/>
      <c r="D18" s="117" t="s">
        <v>12</v>
      </c>
      <c r="E18" s="118">
        <f>HzL!C10</f>
        <v>0</v>
      </c>
      <c r="F18" s="118"/>
      <c r="G18" s="118">
        <f t="shared" si="1"/>
        <v>296</v>
      </c>
    </row>
    <row r="19" spans="1:7" s="119" customFormat="1" ht="14.25">
      <c r="A19" s="115">
        <f t="shared" si="0"/>
        <v>15</v>
      </c>
      <c r="B19" s="116"/>
      <c r="C19" s="115"/>
      <c r="D19" s="117" t="s">
        <v>115</v>
      </c>
      <c r="E19" s="118">
        <f>ROUND(Warmmiete_Wo*13/3,2)</f>
        <v>0</v>
      </c>
      <c r="F19" s="118"/>
      <c r="G19" s="118">
        <f t="shared" si="1"/>
        <v>296</v>
      </c>
    </row>
    <row r="20" spans="1:7" s="119" customFormat="1" ht="14.25">
      <c r="A20" s="115">
        <f t="shared" si="0"/>
        <v>16</v>
      </c>
      <c r="B20" s="116"/>
      <c r="C20" s="115"/>
      <c r="D20" s="117" t="s">
        <v>108</v>
      </c>
      <c r="E20" s="118">
        <f>Strom</f>
        <v>0</v>
      </c>
      <c r="F20" s="118"/>
      <c r="G20" s="118">
        <f t="shared" si="1"/>
        <v>296</v>
      </c>
    </row>
    <row r="21" spans="1:7" s="119" customFormat="1" ht="14.25">
      <c r="A21" s="115">
        <f t="shared" si="0"/>
        <v>17</v>
      </c>
      <c r="B21" s="116"/>
      <c r="C21" s="115"/>
      <c r="D21" s="117" t="s">
        <v>116</v>
      </c>
      <c r="E21" s="118">
        <f>ROUND(StromGas_Wo*13/3,2)</f>
        <v>0</v>
      </c>
      <c r="F21" s="118"/>
      <c r="G21" s="118">
        <f t="shared" si="1"/>
        <v>296</v>
      </c>
    </row>
    <row r="22" spans="1:7" s="119" customFormat="1" ht="14.25">
      <c r="A22" s="115">
        <f t="shared" si="0"/>
        <v>18</v>
      </c>
      <c r="B22" s="116"/>
      <c r="C22" s="115"/>
      <c r="D22" s="117" t="s">
        <v>110</v>
      </c>
      <c r="E22" s="118">
        <f>HzL!C25</f>
        <v>0</v>
      </c>
      <c r="F22" s="118"/>
      <c r="G22" s="118">
        <f t="shared" si="1"/>
        <v>296</v>
      </c>
    </row>
    <row r="23" spans="1:7" s="119" customFormat="1" ht="14.25">
      <c r="A23" s="115">
        <f t="shared" si="0"/>
        <v>19</v>
      </c>
      <c r="B23" s="116"/>
      <c r="C23" s="115"/>
      <c r="D23" s="117" t="s">
        <v>109</v>
      </c>
      <c r="E23" s="118">
        <f>Telefon</f>
        <v>0</v>
      </c>
      <c r="F23" s="118"/>
      <c r="G23" s="118">
        <f t="shared" si="1"/>
        <v>296</v>
      </c>
    </row>
    <row r="24" spans="1:7" s="119" customFormat="1" ht="14.25">
      <c r="A24" s="115">
        <f t="shared" si="0"/>
        <v>20</v>
      </c>
      <c r="B24" s="116"/>
      <c r="C24" s="115"/>
      <c r="D24" s="117" t="s">
        <v>111</v>
      </c>
      <c r="E24" s="118">
        <f>Raten</f>
        <v>0</v>
      </c>
      <c r="F24" s="118"/>
      <c r="G24" s="118">
        <f t="shared" si="1"/>
        <v>296</v>
      </c>
    </row>
    <row r="25" spans="1:7" s="119" customFormat="1" ht="14.25">
      <c r="A25" s="115">
        <f t="shared" si="0"/>
        <v>21</v>
      </c>
      <c r="B25" s="116"/>
      <c r="C25" s="115"/>
      <c r="D25" s="117" t="s">
        <v>117</v>
      </c>
      <c r="E25" s="118">
        <f>ROUND(Raten_Wo*13/3,2)</f>
        <v>0</v>
      </c>
      <c r="F25" s="118"/>
      <c r="G25" s="118">
        <f t="shared" si="1"/>
        <v>296</v>
      </c>
    </row>
    <row r="26" spans="1:7" s="119" customFormat="1" ht="14.25">
      <c r="A26" s="115">
        <f t="shared" si="0"/>
        <v>22</v>
      </c>
      <c r="B26" s="116"/>
      <c r="C26" s="115"/>
      <c r="D26" s="117" t="s">
        <v>112</v>
      </c>
      <c r="E26" s="118">
        <f>Ausg_Mo</f>
        <v>0</v>
      </c>
      <c r="F26" s="118"/>
      <c r="G26" s="118">
        <f t="shared" si="1"/>
        <v>296</v>
      </c>
    </row>
    <row r="27" spans="1:7" s="119" customFormat="1" ht="14.25">
      <c r="A27" s="115">
        <f t="shared" si="0"/>
        <v>23</v>
      </c>
      <c r="B27" s="116"/>
      <c r="C27" s="115"/>
      <c r="D27" s="117" t="s">
        <v>113</v>
      </c>
      <c r="E27" s="118">
        <f>ROUND(Ausg_Wo*13/3,2)</f>
        <v>0</v>
      </c>
      <c r="F27" s="118"/>
      <c r="G27" s="118">
        <f t="shared" si="1"/>
        <v>296</v>
      </c>
    </row>
    <row r="28" spans="1:7" s="119" customFormat="1" ht="14.25">
      <c r="A28" s="115">
        <f t="shared" si="0"/>
        <v>24</v>
      </c>
      <c r="B28" s="116"/>
      <c r="C28" s="115"/>
      <c r="D28" s="117"/>
      <c r="E28" s="118"/>
      <c r="F28" s="118"/>
      <c r="G28" s="118">
        <f t="shared" si="1"/>
        <v>296</v>
      </c>
    </row>
    <row r="29" spans="1:7" s="119" customFormat="1" ht="14.25">
      <c r="A29" s="115">
        <f t="shared" si="0"/>
        <v>25</v>
      </c>
      <c r="B29" s="116"/>
      <c r="C29" s="115"/>
      <c r="D29" s="117"/>
      <c r="E29" s="118"/>
      <c r="F29" s="118"/>
      <c r="G29" s="118">
        <f t="shared" si="1"/>
        <v>296</v>
      </c>
    </row>
    <row r="30" spans="1:7" s="119" customFormat="1" ht="14.25">
      <c r="A30" s="115">
        <f t="shared" si="0"/>
        <v>26</v>
      </c>
      <c r="B30" s="116"/>
      <c r="C30" s="115"/>
      <c r="D30" s="117"/>
      <c r="E30" s="118"/>
      <c r="F30" s="118"/>
      <c r="G30" s="118">
        <f t="shared" si="1"/>
        <v>296</v>
      </c>
    </row>
    <row r="31" spans="1:7" s="119" customFormat="1" ht="14.25">
      <c r="A31" s="115">
        <f t="shared" si="0"/>
        <v>27</v>
      </c>
      <c r="B31" s="116"/>
      <c r="C31" s="115"/>
      <c r="D31" s="117"/>
      <c r="E31" s="118"/>
      <c r="F31" s="118"/>
      <c r="G31" s="118">
        <f t="shared" si="1"/>
        <v>296</v>
      </c>
    </row>
    <row r="32" spans="1:7" s="119" customFormat="1" ht="14.25">
      <c r="A32" s="115">
        <f t="shared" si="0"/>
        <v>28</v>
      </c>
      <c r="B32" s="116"/>
      <c r="C32" s="115"/>
      <c r="D32" s="117"/>
      <c r="E32" s="118"/>
      <c r="F32" s="118"/>
      <c r="G32" s="118">
        <f t="shared" si="1"/>
        <v>296</v>
      </c>
    </row>
    <row r="33" spans="1:7" s="119" customFormat="1" ht="14.25">
      <c r="A33" s="115">
        <f t="shared" si="0"/>
        <v>29</v>
      </c>
      <c r="B33" s="116"/>
      <c r="C33" s="115"/>
      <c r="D33" s="117"/>
      <c r="E33" s="118"/>
      <c r="F33" s="118"/>
      <c r="G33" s="118">
        <f t="shared" si="1"/>
        <v>296</v>
      </c>
    </row>
    <row r="34" spans="1:7" s="119" customFormat="1" ht="14.25">
      <c r="A34" s="115">
        <f t="shared" si="0"/>
        <v>30</v>
      </c>
      <c r="B34" s="116"/>
      <c r="C34" s="115"/>
      <c r="D34" s="117"/>
      <c r="E34" s="118"/>
      <c r="F34" s="118"/>
      <c r="G34" s="118">
        <f t="shared" si="1"/>
        <v>296</v>
      </c>
    </row>
    <row r="35" spans="1:7" s="119" customFormat="1" ht="14.25">
      <c r="A35" s="115">
        <f t="shared" si="0"/>
        <v>31</v>
      </c>
      <c r="B35" s="116"/>
      <c r="C35" s="115"/>
      <c r="D35" s="117"/>
      <c r="E35" s="118"/>
      <c r="F35" s="118"/>
      <c r="G35" s="118">
        <f t="shared" si="1"/>
        <v>296</v>
      </c>
    </row>
    <row r="36" spans="1:7" s="119" customFormat="1" ht="14.25">
      <c r="A36" s="115">
        <f t="shared" si="0"/>
        <v>32</v>
      </c>
      <c r="B36" s="116"/>
      <c r="C36" s="115"/>
      <c r="D36" s="117"/>
      <c r="E36" s="118"/>
      <c r="F36" s="118"/>
      <c r="G36" s="118">
        <f t="shared" si="1"/>
        <v>296</v>
      </c>
    </row>
    <row r="37" spans="1:7" s="119" customFormat="1" ht="14.25">
      <c r="A37" s="115">
        <f t="shared" si="0"/>
        <v>33</v>
      </c>
      <c r="B37" s="116"/>
      <c r="C37" s="115"/>
      <c r="D37" s="117"/>
      <c r="E37" s="118"/>
      <c r="F37" s="118"/>
      <c r="G37" s="118">
        <f t="shared" si="1"/>
        <v>296</v>
      </c>
    </row>
    <row r="38" spans="1:7" s="119" customFormat="1" ht="14.25">
      <c r="A38" s="115">
        <f t="shared" si="0"/>
        <v>34</v>
      </c>
      <c r="B38" s="116"/>
      <c r="C38" s="115"/>
      <c r="D38" s="117"/>
      <c r="E38" s="118"/>
      <c r="F38" s="118"/>
      <c r="G38" s="118">
        <f t="shared" si="1"/>
        <v>296</v>
      </c>
    </row>
    <row r="39" spans="1:7" s="119" customFormat="1" ht="14.25">
      <c r="A39" s="115">
        <f t="shared" si="0"/>
        <v>35</v>
      </c>
      <c r="B39" s="116"/>
      <c r="C39" s="115"/>
      <c r="D39" s="117"/>
      <c r="E39" s="118"/>
      <c r="F39" s="118"/>
      <c r="G39" s="118">
        <f t="shared" si="1"/>
        <v>296</v>
      </c>
    </row>
    <row r="40" spans="1:7" s="119" customFormat="1" ht="14.25">
      <c r="A40" s="115">
        <f t="shared" si="0"/>
        <v>36</v>
      </c>
      <c r="B40" s="116"/>
      <c r="C40" s="115"/>
      <c r="D40" s="117"/>
      <c r="E40" s="118"/>
      <c r="F40" s="118"/>
      <c r="G40" s="118">
        <f t="shared" si="1"/>
        <v>296</v>
      </c>
    </row>
    <row r="41" spans="1:7" s="119" customFormat="1" ht="14.25">
      <c r="A41" s="115">
        <f t="shared" si="0"/>
        <v>37</v>
      </c>
      <c r="B41" s="116"/>
      <c r="C41" s="115"/>
      <c r="D41" s="117"/>
      <c r="E41" s="118"/>
      <c r="F41" s="118"/>
      <c r="G41" s="118">
        <f t="shared" si="1"/>
        <v>296</v>
      </c>
    </row>
    <row r="42" spans="1:7" s="119" customFormat="1" ht="14.25">
      <c r="A42" s="115">
        <f t="shared" si="0"/>
        <v>38</v>
      </c>
      <c r="B42" s="116"/>
      <c r="C42" s="115"/>
      <c r="D42" s="117"/>
      <c r="E42" s="118"/>
      <c r="F42" s="118"/>
      <c r="G42" s="118">
        <f t="shared" si="1"/>
        <v>296</v>
      </c>
    </row>
    <row r="43" spans="1:7" s="119" customFormat="1" ht="14.25">
      <c r="A43" s="115">
        <f t="shared" si="0"/>
        <v>39</v>
      </c>
      <c r="B43" s="116"/>
      <c r="C43" s="115"/>
      <c r="D43" s="117"/>
      <c r="E43" s="118"/>
      <c r="F43" s="118"/>
      <c r="G43" s="118">
        <f t="shared" si="1"/>
        <v>296</v>
      </c>
    </row>
    <row r="44" spans="1:7" s="119" customFormat="1" ht="14.25">
      <c r="A44" s="115">
        <f t="shared" si="0"/>
        <v>40</v>
      </c>
      <c r="B44" s="116"/>
      <c r="C44" s="115"/>
      <c r="D44" s="117"/>
      <c r="E44" s="118"/>
      <c r="F44" s="118"/>
      <c r="G44" s="118">
        <f t="shared" si="1"/>
        <v>296</v>
      </c>
    </row>
    <row r="45" spans="1:7" s="124" customFormat="1" ht="14.25">
      <c r="A45" s="120"/>
      <c r="B45" s="121"/>
      <c r="C45" s="120"/>
      <c r="D45" s="122"/>
      <c r="E45" s="123"/>
      <c r="F45" s="123"/>
      <c r="G45" s="123"/>
    </row>
    <row r="47" spans="1:4" ht="14.25">
      <c r="A47" s="125" t="s">
        <v>67</v>
      </c>
      <c r="B47" s="126">
        <f>B1+1</f>
        <v>1.2002</v>
      </c>
      <c r="C47" s="127"/>
      <c r="D47" s="128" t="str">
        <f>D1</f>
        <v>Name, Vorname / Konto Nr.</v>
      </c>
    </row>
    <row r="48" spans="1:7" ht="15" thickBot="1">
      <c r="A48" s="106" t="s">
        <v>69</v>
      </c>
      <c r="B48" s="106" t="s">
        <v>70</v>
      </c>
      <c r="C48" s="106" t="s">
        <v>71</v>
      </c>
      <c r="D48" s="107" t="s">
        <v>72</v>
      </c>
      <c r="E48" s="108" t="s">
        <v>73</v>
      </c>
      <c r="F48" s="108" t="s">
        <v>74</v>
      </c>
      <c r="G48" s="108" t="s">
        <v>75</v>
      </c>
    </row>
    <row r="49" spans="1:7" s="133" customFormat="1" ht="14.25">
      <c r="A49" s="129"/>
      <c r="B49" s="130"/>
      <c r="C49" s="129"/>
      <c r="D49" s="131"/>
      <c r="E49" s="132"/>
      <c r="F49" s="132"/>
      <c r="G49" s="132"/>
    </row>
    <row r="50" spans="1:7" s="119" customFormat="1" ht="14.25">
      <c r="A50" s="115">
        <v>0</v>
      </c>
      <c r="B50" s="134">
        <f>IF(B44&lt;&gt;"",B44,"")</f>
      </c>
      <c r="C50" s="134">
        <f>IF(C44&lt;&gt;"",C44,"")</f>
      </c>
      <c r="D50" s="135" t="s">
        <v>77</v>
      </c>
      <c r="E50" s="118"/>
      <c r="F50" s="118"/>
      <c r="G50" s="118">
        <f>G44</f>
        <v>296</v>
      </c>
    </row>
    <row r="51" spans="1:7" s="119" customFormat="1" ht="14.25">
      <c r="A51" s="115">
        <f aca="true" t="shared" si="2" ref="A51:A90">A50+1</f>
        <v>1</v>
      </c>
      <c r="B51" s="116"/>
      <c r="C51" s="115"/>
      <c r="D51" s="117"/>
      <c r="E51" s="118"/>
      <c r="F51" s="118"/>
      <c r="G51" s="118">
        <f aca="true" t="shared" si="3" ref="G51:G90">G50+F51-E51</f>
        <v>296</v>
      </c>
    </row>
    <row r="52" spans="1:7" s="119" customFormat="1" ht="14.25">
      <c r="A52" s="115">
        <f t="shared" si="2"/>
        <v>2</v>
      </c>
      <c r="B52" s="116"/>
      <c r="C52" s="115"/>
      <c r="D52" s="117"/>
      <c r="E52" s="118"/>
      <c r="F52" s="118"/>
      <c r="G52" s="118">
        <f t="shared" si="3"/>
        <v>296</v>
      </c>
    </row>
    <row r="53" spans="1:7" s="119" customFormat="1" ht="14.25">
      <c r="A53" s="115">
        <f t="shared" si="2"/>
        <v>3</v>
      </c>
      <c r="B53" s="116"/>
      <c r="C53" s="115"/>
      <c r="D53" s="117"/>
      <c r="E53" s="118"/>
      <c r="F53" s="118"/>
      <c r="G53" s="118">
        <f t="shared" si="3"/>
        <v>296</v>
      </c>
    </row>
    <row r="54" spans="1:7" s="119" customFormat="1" ht="14.25">
      <c r="A54" s="115">
        <f t="shared" si="2"/>
        <v>4</v>
      </c>
      <c r="B54" s="116"/>
      <c r="C54" s="115"/>
      <c r="D54" s="117"/>
      <c r="E54" s="118"/>
      <c r="F54" s="118"/>
      <c r="G54" s="118">
        <f t="shared" si="3"/>
        <v>296</v>
      </c>
    </row>
    <row r="55" spans="1:7" s="119" customFormat="1" ht="14.25">
      <c r="A55" s="115">
        <f t="shared" si="2"/>
        <v>5</v>
      </c>
      <c r="B55" s="116"/>
      <c r="C55" s="115"/>
      <c r="D55" s="117"/>
      <c r="E55" s="118"/>
      <c r="F55" s="118"/>
      <c r="G55" s="118">
        <f t="shared" si="3"/>
        <v>296</v>
      </c>
    </row>
    <row r="56" spans="1:7" s="119" customFormat="1" ht="14.25">
      <c r="A56" s="115">
        <f t="shared" si="2"/>
        <v>6</v>
      </c>
      <c r="B56" s="116"/>
      <c r="C56" s="115"/>
      <c r="D56" s="117"/>
      <c r="E56" s="118"/>
      <c r="F56" s="118"/>
      <c r="G56" s="118">
        <f t="shared" si="3"/>
        <v>296</v>
      </c>
    </row>
    <row r="57" spans="1:7" s="119" customFormat="1" ht="14.25">
      <c r="A57" s="115">
        <f t="shared" si="2"/>
        <v>7</v>
      </c>
      <c r="B57" s="116"/>
      <c r="C57" s="115"/>
      <c r="D57" s="117"/>
      <c r="E57" s="118"/>
      <c r="F57" s="118"/>
      <c r="G57" s="118">
        <f t="shared" si="3"/>
        <v>296</v>
      </c>
    </row>
    <row r="58" spans="1:7" s="119" customFormat="1" ht="14.25">
      <c r="A58" s="115">
        <f t="shared" si="2"/>
        <v>8</v>
      </c>
      <c r="B58" s="116"/>
      <c r="C58" s="115"/>
      <c r="D58" s="117"/>
      <c r="E58" s="118"/>
      <c r="F58" s="118"/>
      <c r="G58" s="118">
        <f t="shared" si="3"/>
        <v>296</v>
      </c>
    </row>
    <row r="59" spans="1:7" s="119" customFormat="1" ht="14.25">
      <c r="A59" s="115">
        <f t="shared" si="2"/>
        <v>9</v>
      </c>
      <c r="B59" s="116"/>
      <c r="C59" s="115"/>
      <c r="D59" s="117"/>
      <c r="E59" s="118"/>
      <c r="F59" s="118"/>
      <c r="G59" s="118">
        <f t="shared" si="3"/>
        <v>296</v>
      </c>
    </row>
    <row r="60" spans="1:7" s="119" customFormat="1" ht="14.25">
      <c r="A60" s="115">
        <f t="shared" si="2"/>
        <v>10</v>
      </c>
      <c r="B60" s="116"/>
      <c r="C60" s="115"/>
      <c r="D60" s="117"/>
      <c r="E60" s="118"/>
      <c r="F60" s="118"/>
      <c r="G60" s="118">
        <f t="shared" si="3"/>
        <v>296</v>
      </c>
    </row>
    <row r="61" spans="1:7" s="119" customFormat="1" ht="14.25">
      <c r="A61" s="115">
        <f t="shared" si="2"/>
        <v>11</v>
      </c>
      <c r="B61" s="116"/>
      <c r="C61" s="115"/>
      <c r="D61" s="117"/>
      <c r="E61" s="118"/>
      <c r="F61" s="118"/>
      <c r="G61" s="118">
        <f t="shared" si="3"/>
        <v>296</v>
      </c>
    </row>
    <row r="62" spans="1:7" s="119" customFormat="1" ht="14.25">
      <c r="A62" s="115">
        <f t="shared" si="2"/>
        <v>12</v>
      </c>
      <c r="B62" s="116"/>
      <c r="C62" s="115"/>
      <c r="D62" s="117"/>
      <c r="E62" s="118"/>
      <c r="F62" s="118"/>
      <c r="G62" s="118">
        <f t="shared" si="3"/>
        <v>296</v>
      </c>
    </row>
    <row r="63" spans="1:7" s="119" customFormat="1" ht="14.25">
      <c r="A63" s="115">
        <f t="shared" si="2"/>
        <v>13</v>
      </c>
      <c r="B63" s="116"/>
      <c r="C63" s="115"/>
      <c r="D63" s="117"/>
      <c r="E63" s="118"/>
      <c r="F63" s="118"/>
      <c r="G63" s="118">
        <f t="shared" si="3"/>
        <v>296</v>
      </c>
    </row>
    <row r="64" spans="1:7" s="119" customFormat="1" ht="14.25">
      <c r="A64" s="115">
        <f t="shared" si="2"/>
        <v>14</v>
      </c>
      <c r="B64" s="116"/>
      <c r="C64" s="115"/>
      <c r="D64" s="117"/>
      <c r="E64" s="118"/>
      <c r="F64" s="118"/>
      <c r="G64" s="118">
        <f t="shared" si="3"/>
        <v>296</v>
      </c>
    </row>
    <row r="65" spans="1:7" s="119" customFormat="1" ht="14.25">
      <c r="A65" s="115">
        <f t="shared" si="2"/>
        <v>15</v>
      </c>
      <c r="B65" s="116"/>
      <c r="C65" s="115"/>
      <c r="D65" s="117"/>
      <c r="E65" s="118"/>
      <c r="F65" s="118"/>
      <c r="G65" s="118">
        <f t="shared" si="3"/>
        <v>296</v>
      </c>
    </row>
    <row r="66" spans="1:7" s="119" customFormat="1" ht="14.25">
      <c r="A66" s="115">
        <f t="shared" si="2"/>
        <v>16</v>
      </c>
      <c r="B66" s="116"/>
      <c r="C66" s="115"/>
      <c r="D66" s="117"/>
      <c r="E66" s="118"/>
      <c r="F66" s="118"/>
      <c r="G66" s="118">
        <f t="shared" si="3"/>
        <v>296</v>
      </c>
    </row>
    <row r="67" spans="1:7" s="119" customFormat="1" ht="14.25">
      <c r="A67" s="115">
        <f t="shared" si="2"/>
        <v>17</v>
      </c>
      <c r="B67" s="116"/>
      <c r="C67" s="115"/>
      <c r="D67" s="117"/>
      <c r="E67" s="118"/>
      <c r="F67" s="118"/>
      <c r="G67" s="118">
        <f t="shared" si="3"/>
        <v>296</v>
      </c>
    </row>
    <row r="68" spans="1:7" s="119" customFormat="1" ht="14.25">
      <c r="A68" s="115">
        <f t="shared" si="2"/>
        <v>18</v>
      </c>
      <c r="B68" s="116"/>
      <c r="C68" s="115"/>
      <c r="D68" s="117"/>
      <c r="E68" s="118"/>
      <c r="F68" s="118"/>
      <c r="G68" s="118">
        <f t="shared" si="3"/>
        <v>296</v>
      </c>
    </row>
    <row r="69" spans="1:7" s="119" customFormat="1" ht="14.25">
      <c r="A69" s="115">
        <f t="shared" si="2"/>
        <v>19</v>
      </c>
      <c r="B69" s="116"/>
      <c r="C69" s="115"/>
      <c r="D69" s="117"/>
      <c r="E69" s="118"/>
      <c r="F69" s="118"/>
      <c r="G69" s="118">
        <f t="shared" si="3"/>
        <v>296</v>
      </c>
    </row>
    <row r="70" spans="1:7" s="119" customFormat="1" ht="14.25">
      <c r="A70" s="115">
        <f t="shared" si="2"/>
        <v>20</v>
      </c>
      <c r="B70" s="116"/>
      <c r="C70" s="115"/>
      <c r="D70" s="117"/>
      <c r="E70" s="118"/>
      <c r="F70" s="118"/>
      <c r="G70" s="118">
        <f t="shared" si="3"/>
        <v>296</v>
      </c>
    </row>
    <row r="71" spans="1:7" s="119" customFormat="1" ht="14.25">
      <c r="A71" s="115">
        <f t="shared" si="2"/>
        <v>21</v>
      </c>
      <c r="B71" s="116"/>
      <c r="C71" s="115"/>
      <c r="D71" s="117"/>
      <c r="E71" s="118"/>
      <c r="F71" s="118"/>
      <c r="G71" s="118">
        <f t="shared" si="3"/>
        <v>296</v>
      </c>
    </row>
    <row r="72" spans="1:7" s="119" customFormat="1" ht="14.25">
      <c r="A72" s="115">
        <f t="shared" si="2"/>
        <v>22</v>
      </c>
      <c r="B72" s="116"/>
      <c r="C72" s="115"/>
      <c r="D72" s="117"/>
      <c r="E72" s="118"/>
      <c r="F72" s="118"/>
      <c r="G72" s="118">
        <f t="shared" si="3"/>
        <v>296</v>
      </c>
    </row>
    <row r="73" spans="1:7" s="119" customFormat="1" ht="14.25">
      <c r="A73" s="115">
        <f t="shared" si="2"/>
        <v>23</v>
      </c>
      <c r="B73" s="116"/>
      <c r="C73" s="115"/>
      <c r="D73" s="117"/>
      <c r="E73" s="118"/>
      <c r="F73" s="118"/>
      <c r="G73" s="118">
        <f t="shared" si="3"/>
        <v>296</v>
      </c>
    </row>
    <row r="74" spans="1:7" s="119" customFormat="1" ht="14.25">
      <c r="A74" s="115">
        <f t="shared" si="2"/>
        <v>24</v>
      </c>
      <c r="B74" s="116"/>
      <c r="C74" s="115"/>
      <c r="D74" s="117"/>
      <c r="E74" s="118"/>
      <c r="F74" s="118"/>
      <c r="G74" s="118">
        <f t="shared" si="3"/>
        <v>296</v>
      </c>
    </row>
    <row r="75" spans="1:7" s="119" customFormat="1" ht="14.25">
      <c r="A75" s="115">
        <f t="shared" si="2"/>
        <v>25</v>
      </c>
      <c r="B75" s="116"/>
      <c r="C75" s="115"/>
      <c r="D75" s="117"/>
      <c r="E75" s="118"/>
      <c r="F75" s="118"/>
      <c r="G75" s="118">
        <f t="shared" si="3"/>
        <v>296</v>
      </c>
    </row>
    <row r="76" spans="1:7" s="119" customFormat="1" ht="14.25">
      <c r="A76" s="115">
        <f t="shared" si="2"/>
        <v>26</v>
      </c>
      <c r="B76" s="116"/>
      <c r="C76" s="115"/>
      <c r="D76" s="117"/>
      <c r="E76" s="118"/>
      <c r="F76" s="118"/>
      <c r="G76" s="118">
        <f t="shared" si="3"/>
        <v>296</v>
      </c>
    </row>
    <row r="77" spans="1:7" s="119" customFormat="1" ht="14.25">
      <c r="A77" s="115">
        <f t="shared" si="2"/>
        <v>27</v>
      </c>
      <c r="B77" s="116"/>
      <c r="C77" s="115"/>
      <c r="D77" s="117"/>
      <c r="E77" s="118"/>
      <c r="F77" s="118"/>
      <c r="G77" s="118">
        <f t="shared" si="3"/>
        <v>296</v>
      </c>
    </row>
    <row r="78" spans="1:7" s="119" customFormat="1" ht="14.25">
      <c r="A78" s="115">
        <f t="shared" si="2"/>
        <v>28</v>
      </c>
      <c r="B78" s="116"/>
      <c r="C78" s="115"/>
      <c r="D78" s="117"/>
      <c r="E78" s="118"/>
      <c r="F78" s="118"/>
      <c r="G78" s="118">
        <f t="shared" si="3"/>
        <v>296</v>
      </c>
    </row>
    <row r="79" spans="1:7" s="119" customFormat="1" ht="14.25">
      <c r="A79" s="115">
        <f t="shared" si="2"/>
        <v>29</v>
      </c>
      <c r="B79" s="116"/>
      <c r="C79" s="115"/>
      <c r="D79" s="117"/>
      <c r="E79" s="118"/>
      <c r="F79" s="118"/>
      <c r="G79" s="118">
        <f t="shared" si="3"/>
        <v>296</v>
      </c>
    </row>
    <row r="80" spans="1:7" s="119" customFormat="1" ht="14.25">
      <c r="A80" s="115">
        <f t="shared" si="2"/>
        <v>30</v>
      </c>
      <c r="B80" s="116"/>
      <c r="C80" s="115"/>
      <c r="D80" s="117"/>
      <c r="E80" s="118"/>
      <c r="F80" s="118"/>
      <c r="G80" s="118">
        <f t="shared" si="3"/>
        <v>296</v>
      </c>
    </row>
    <row r="81" spans="1:7" s="119" customFormat="1" ht="14.25">
      <c r="A81" s="115">
        <f t="shared" si="2"/>
        <v>31</v>
      </c>
      <c r="B81" s="116"/>
      <c r="C81" s="115"/>
      <c r="D81" s="117"/>
      <c r="E81" s="118"/>
      <c r="F81" s="118"/>
      <c r="G81" s="118">
        <f t="shared" si="3"/>
        <v>296</v>
      </c>
    </row>
    <row r="82" spans="1:7" s="119" customFormat="1" ht="14.25">
      <c r="A82" s="115">
        <f t="shared" si="2"/>
        <v>32</v>
      </c>
      <c r="B82" s="116"/>
      <c r="C82" s="115"/>
      <c r="D82" s="117"/>
      <c r="E82" s="118"/>
      <c r="F82" s="118"/>
      <c r="G82" s="118">
        <f t="shared" si="3"/>
        <v>296</v>
      </c>
    </row>
    <row r="83" spans="1:7" s="119" customFormat="1" ht="14.25">
      <c r="A83" s="115">
        <f t="shared" si="2"/>
        <v>33</v>
      </c>
      <c r="B83" s="116"/>
      <c r="C83" s="115"/>
      <c r="D83" s="117"/>
      <c r="E83" s="118"/>
      <c r="F83" s="118"/>
      <c r="G83" s="118">
        <f t="shared" si="3"/>
        <v>296</v>
      </c>
    </row>
    <row r="84" spans="1:7" s="119" customFormat="1" ht="14.25">
      <c r="A84" s="115">
        <f t="shared" si="2"/>
        <v>34</v>
      </c>
      <c r="B84" s="116"/>
      <c r="C84" s="115"/>
      <c r="D84" s="117"/>
      <c r="E84" s="118"/>
      <c r="F84" s="118"/>
      <c r="G84" s="118">
        <f t="shared" si="3"/>
        <v>296</v>
      </c>
    </row>
    <row r="85" spans="1:7" s="119" customFormat="1" ht="14.25">
      <c r="A85" s="115">
        <f t="shared" si="2"/>
        <v>35</v>
      </c>
      <c r="B85" s="116"/>
      <c r="C85" s="115"/>
      <c r="D85" s="117"/>
      <c r="E85" s="118"/>
      <c r="F85" s="118"/>
      <c r="G85" s="118">
        <f t="shared" si="3"/>
        <v>296</v>
      </c>
    </row>
    <row r="86" spans="1:7" s="119" customFormat="1" ht="14.25">
      <c r="A86" s="115">
        <f t="shared" si="2"/>
        <v>36</v>
      </c>
      <c r="B86" s="116"/>
      <c r="C86" s="115"/>
      <c r="D86" s="117"/>
      <c r="E86" s="118"/>
      <c r="F86" s="118"/>
      <c r="G86" s="118">
        <f t="shared" si="3"/>
        <v>296</v>
      </c>
    </row>
    <row r="87" spans="1:7" s="119" customFormat="1" ht="14.25">
      <c r="A87" s="115">
        <f t="shared" si="2"/>
        <v>37</v>
      </c>
      <c r="B87" s="116"/>
      <c r="C87" s="115"/>
      <c r="D87" s="117"/>
      <c r="E87" s="118"/>
      <c r="F87" s="118"/>
      <c r="G87" s="118">
        <f t="shared" si="3"/>
        <v>296</v>
      </c>
    </row>
    <row r="88" spans="1:7" s="119" customFormat="1" ht="14.25">
      <c r="A88" s="115">
        <f t="shared" si="2"/>
        <v>38</v>
      </c>
      <c r="B88" s="116"/>
      <c r="C88" s="115"/>
      <c r="D88" s="117"/>
      <c r="E88" s="118"/>
      <c r="F88" s="118"/>
      <c r="G88" s="118">
        <f t="shared" si="3"/>
        <v>296</v>
      </c>
    </row>
    <row r="89" spans="1:7" s="119" customFormat="1" ht="14.25">
      <c r="A89" s="115">
        <f t="shared" si="2"/>
        <v>39</v>
      </c>
      <c r="B89" s="116"/>
      <c r="C89" s="115"/>
      <c r="D89" s="117"/>
      <c r="E89" s="118"/>
      <c r="F89" s="118"/>
      <c r="G89" s="118">
        <f t="shared" si="3"/>
        <v>296</v>
      </c>
    </row>
    <row r="90" spans="1:7" s="119" customFormat="1" ht="14.25">
      <c r="A90" s="115">
        <f t="shared" si="2"/>
        <v>40</v>
      </c>
      <c r="B90" s="116"/>
      <c r="C90" s="115"/>
      <c r="D90" s="117"/>
      <c r="E90" s="118"/>
      <c r="F90" s="118"/>
      <c r="G90" s="118">
        <f t="shared" si="3"/>
        <v>296</v>
      </c>
    </row>
    <row r="91" spans="1:7" s="124" customFormat="1" ht="14.25">
      <c r="A91" s="120"/>
      <c r="B91" s="121"/>
      <c r="C91" s="120"/>
      <c r="D91" s="122"/>
      <c r="E91" s="123"/>
      <c r="F91" s="123"/>
      <c r="G91" s="123"/>
    </row>
    <row r="93" spans="1:4" ht="14.25">
      <c r="A93" s="125" t="s">
        <v>67</v>
      </c>
      <c r="B93" s="126">
        <f>B47+1</f>
        <v>2.2001999999999997</v>
      </c>
      <c r="C93" s="127"/>
      <c r="D93" s="128" t="str">
        <f>D47</f>
        <v>Name, Vorname / Konto Nr.</v>
      </c>
    </row>
    <row r="94" spans="1:7" ht="15" thickBot="1">
      <c r="A94" s="106" t="s">
        <v>69</v>
      </c>
      <c r="B94" s="106" t="s">
        <v>70</v>
      </c>
      <c r="C94" s="106" t="s">
        <v>71</v>
      </c>
      <c r="D94" s="107" t="s">
        <v>72</v>
      </c>
      <c r="E94" s="108" t="s">
        <v>73</v>
      </c>
      <c r="F94" s="108" t="s">
        <v>74</v>
      </c>
      <c r="G94" s="108" t="s">
        <v>75</v>
      </c>
    </row>
    <row r="95" spans="1:7" s="133" customFormat="1" ht="14.25">
      <c r="A95" s="129"/>
      <c r="B95" s="130"/>
      <c r="C95" s="129"/>
      <c r="D95" s="131"/>
      <c r="E95" s="132"/>
      <c r="F95" s="132"/>
      <c r="G95" s="132"/>
    </row>
    <row r="96" spans="1:7" s="119" customFormat="1" ht="14.25">
      <c r="A96" s="115">
        <f>A90</f>
        <v>40</v>
      </c>
      <c r="B96" s="134">
        <f>IF(B90&lt;&gt;"",B90,"")</f>
      </c>
      <c r="C96" s="134">
        <f>IF(C90&lt;&gt;"",C90,"")</f>
      </c>
      <c r="D96" s="135" t="s">
        <v>78</v>
      </c>
      <c r="E96" s="118"/>
      <c r="F96" s="118"/>
      <c r="G96" s="118">
        <f>G90</f>
        <v>296</v>
      </c>
    </row>
    <row r="97" spans="1:7" s="119" customFormat="1" ht="14.25">
      <c r="A97" s="115">
        <f aca="true" t="shared" si="4" ref="A97:A136">A96+1</f>
        <v>41</v>
      </c>
      <c r="B97" s="116"/>
      <c r="C97" s="115"/>
      <c r="D97" s="117"/>
      <c r="E97" s="118"/>
      <c r="F97" s="118"/>
      <c r="G97" s="118">
        <f aca="true" t="shared" si="5" ref="G97:G136">G96+F97-E97</f>
        <v>296</v>
      </c>
    </row>
    <row r="98" spans="1:7" s="119" customFormat="1" ht="14.25">
      <c r="A98" s="115">
        <f t="shared" si="4"/>
        <v>42</v>
      </c>
      <c r="B98" s="116"/>
      <c r="C98" s="115"/>
      <c r="D98" s="117"/>
      <c r="E98" s="118"/>
      <c r="F98" s="118"/>
      <c r="G98" s="118">
        <f t="shared" si="5"/>
        <v>296</v>
      </c>
    </row>
    <row r="99" spans="1:7" s="119" customFormat="1" ht="14.25">
      <c r="A99" s="115">
        <f t="shared" si="4"/>
        <v>43</v>
      </c>
      <c r="B99" s="116"/>
      <c r="C99" s="115"/>
      <c r="D99" s="117"/>
      <c r="E99" s="118"/>
      <c r="F99" s="118"/>
      <c r="G99" s="118">
        <f t="shared" si="5"/>
        <v>296</v>
      </c>
    </row>
    <row r="100" spans="1:7" s="119" customFormat="1" ht="14.25">
      <c r="A100" s="115">
        <f t="shared" si="4"/>
        <v>44</v>
      </c>
      <c r="B100" s="116"/>
      <c r="C100" s="115"/>
      <c r="D100" s="117"/>
      <c r="E100" s="118"/>
      <c r="F100" s="118"/>
      <c r="G100" s="118">
        <f t="shared" si="5"/>
        <v>296</v>
      </c>
    </row>
    <row r="101" spans="1:7" s="119" customFormat="1" ht="14.25">
      <c r="A101" s="115">
        <f t="shared" si="4"/>
        <v>45</v>
      </c>
      <c r="B101" s="116"/>
      <c r="C101" s="115"/>
      <c r="D101" s="117"/>
      <c r="E101" s="118"/>
      <c r="F101" s="118"/>
      <c r="G101" s="118">
        <f t="shared" si="5"/>
        <v>296</v>
      </c>
    </row>
    <row r="102" spans="1:7" s="119" customFormat="1" ht="14.25">
      <c r="A102" s="115">
        <f t="shared" si="4"/>
        <v>46</v>
      </c>
      <c r="B102" s="116"/>
      <c r="C102" s="115"/>
      <c r="D102" s="117"/>
      <c r="E102" s="118"/>
      <c r="F102" s="118"/>
      <c r="G102" s="118">
        <f t="shared" si="5"/>
        <v>296</v>
      </c>
    </row>
    <row r="103" spans="1:7" s="119" customFormat="1" ht="14.25">
      <c r="A103" s="115">
        <f t="shared" si="4"/>
        <v>47</v>
      </c>
      <c r="B103" s="116"/>
      <c r="C103" s="115"/>
      <c r="D103" s="117"/>
      <c r="E103" s="118"/>
      <c r="F103" s="118"/>
      <c r="G103" s="118">
        <f t="shared" si="5"/>
        <v>296</v>
      </c>
    </row>
    <row r="104" spans="1:7" s="119" customFormat="1" ht="14.25">
      <c r="A104" s="115">
        <f t="shared" si="4"/>
        <v>48</v>
      </c>
      <c r="B104" s="116"/>
      <c r="C104" s="115"/>
      <c r="D104" s="117"/>
      <c r="E104" s="118"/>
      <c r="F104" s="118"/>
      <c r="G104" s="118">
        <f t="shared" si="5"/>
        <v>296</v>
      </c>
    </row>
    <row r="105" spans="1:7" s="119" customFormat="1" ht="14.25">
      <c r="A105" s="115">
        <f t="shared" si="4"/>
        <v>49</v>
      </c>
      <c r="B105" s="116"/>
      <c r="C105" s="115"/>
      <c r="D105" s="117"/>
      <c r="E105" s="118"/>
      <c r="F105" s="118"/>
      <c r="G105" s="118">
        <f t="shared" si="5"/>
        <v>296</v>
      </c>
    </row>
    <row r="106" spans="1:7" s="119" customFormat="1" ht="14.25">
      <c r="A106" s="115">
        <f t="shared" si="4"/>
        <v>50</v>
      </c>
      <c r="B106" s="116"/>
      <c r="C106" s="115"/>
      <c r="D106" s="117"/>
      <c r="E106" s="118"/>
      <c r="F106" s="118"/>
      <c r="G106" s="118">
        <f t="shared" si="5"/>
        <v>296</v>
      </c>
    </row>
    <row r="107" spans="1:7" s="119" customFormat="1" ht="14.25">
      <c r="A107" s="115">
        <f t="shared" si="4"/>
        <v>51</v>
      </c>
      <c r="B107" s="116"/>
      <c r="C107" s="115"/>
      <c r="D107" s="117"/>
      <c r="E107" s="118"/>
      <c r="F107" s="118"/>
      <c r="G107" s="118">
        <f t="shared" si="5"/>
        <v>296</v>
      </c>
    </row>
    <row r="108" spans="1:7" s="119" customFormat="1" ht="14.25">
      <c r="A108" s="115">
        <f t="shared" si="4"/>
        <v>52</v>
      </c>
      <c r="B108" s="116"/>
      <c r="C108" s="115"/>
      <c r="D108" s="117"/>
      <c r="E108" s="118"/>
      <c r="F108" s="118"/>
      <c r="G108" s="118">
        <f t="shared" si="5"/>
        <v>296</v>
      </c>
    </row>
    <row r="109" spans="1:7" s="119" customFormat="1" ht="14.25">
      <c r="A109" s="115">
        <f t="shared" si="4"/>
        <v>53</v>
      </c>
      <c r="B109" s="116"/>
      <c r="C109" s="115"/>
      <c r="D109" s="117"/>
      <c r="E109" s="118"/>
      <c r="F109" s="118"/>
      <c r="G109" s="118">
        <f t="shared" si="5"/>
        <v>296</v>
      </c>
    </row>
    <row r="110" spans="1:7" s="119" customFormat="1" ht="14.25">
      <c r="A110" s="115">
        <f t="shared" si="4"/>
        <v>54</v>
      </c>
      <c r="B110" s="116"/>
      <c r="C110" s="115"/>
      <c r="D110" s="117"/>
      <c r="E110" s="118"/>
      <c r="F110" s="118"/>
      <c r="G110" s="118">
        <f t="shared" si="5"/>
        <v>296</v>
      </c>
    </row>
    <row r="111" spans="1:7" s="119" customFormat="1" ht="14.25">
      <c r="A111" s="115">
        <f t="shared" si="4"/>
        <v>55</v>
      </c>
      <c r="B111" s="116"/>
      <c r="C111" s="115"/>
      <c r="D111" s="117"/>
      <c r="E111" s="118"/>
      <c r="F111" s="118"/>
      <c r="G111" s="118">
        <f t="shared" si="5"/>
        <v>296</v>
      </c>
    </row>
    <row r="112" spans="1:7" s="119" customFormat="1" ht="14.25">
      <c r="A112" s="115">
        <f t="shared" si="4"/>
        <v>56</v>
      </c>
      <c r="B112" s="116"/>
      <c r="C112" s="115"/>
      <c r="D112" s="117"/>
      <c r="E112" s="118"/>
      <c r="F112" s="118"/>
      <c r="G112" s="118">
        <f t="shared" si="5"/>
        <v>296</v>
      </c>
    </row>
    <row r="113" spans="1:7" s="119" customFormat="1" ht="14.25">
      <c r="A113" s="115">
        <f t="shared" si="4"/>
        <v>57</v>
      </c>
      <c r="B113" s="116"/>
      <c r="C113" s="115"/>
      <c r="D113" s="117"/>
      <c r="E113" s="118"/>
      <c r="F113" s="118"/>
      <c r="G113" s="118">
        <f t="shared" si="5"/>
        <v>296</v>
      </c>
    </row>
    <row r="114" spans="1:7" s="119" customFormat="1" ht="14.25">
      <c r="A114" s="115">
        <f t="shared" si="4"/>
        <v>58</v>
      </c>
      <c r="B114" s="116"/>
      <c r="C114" s="115"/>
      <c r="D114" s="117"/>
      <c r="E114" s="118"/>
      <c r="F114" s="118"/>
      <c r="G114" s="118">
        <f t="shared" si="5"/>
        <v>296</v>
      </c>
    </row>
    <row r="115" spans="1:7" s="119" customFormat="1" ht="14.25">
      <c r="A115" s="115">
        <f t="shared" si="4"/>
        <v>59</v>
      </c>
      <c r="B115" s="116"/>
      <c r="C115" s="115"/>
      <c r="D115" s="117"/>
      <c r="E115" s="118"/>
      <c r="F115" s="118"/>
      <c r="G115" s="118">
        <f t="shared" si="5"/>
        <v>296</v>
      </c>
    </row>
    <row r="116" spans="1:7" s="119" customFormat="1" ht="14.25">
      <c r="A116" s="115">
        <f t="shared" si="4"/>
        <v>60</v>
      </c>
      <c r="B116" s="116"/>
      <c r="C116" s="115"/>
      <c r="D116" s="117"/>
      <c r="E116" s="118"/>
      <c r="F116" s="118"/>
      <c r="G116" s="118">
        <f t="shared" si="5"/>
        <v>296</v>
      </c>
    </row>
    <row r="117" spans="1:7" s="119" customFormat="1" ht="14.25">
      <c r="A117" s="115">
        <f t="shared" si="4"/>
        <v>61</v>
      </c>
      <c r="B117" s="116"/>
      <c r="C117" s="115"/>
      <c r="D117" s="117"/>
      <c r="E117" s="118"/>
      <c r="F117" s="118"/>
      <c r="G117" s="118">
        <f t="shared" si="5"/>
        <v>296</v>
      </c>
    </row>
    <row r="118" spans="1:7" s="119" customFormat="1" ht="14.25">
      <c r="A118" s="115">
        <f t="shared" si="4"/>
        <v>62</v>
      </c>
      <c r="B118" s="116"/>
      <c r="C118" s="115"/>
      <c r="D118" s="117"/>
      <c r="E118" s="118"/>
      <c r="F118" s="118"/>
      <c r="G118" s="118">
        <f t="shared" si="5"/>
        <v>296</v>
      </c>
    </row>
    <row r="119" spans="1:7" s="119" customFormat="1" ht="14.25">
      <c r="A119" s="115">
        <f t="shared" si="4"/>
        <v>63</v>
      </c>
      <c r="B119" s="116"/>
      <c r="C119" s="115"/>
      <c r="D119" s="117"/>
      <c r="E119" s="118"/>
      <c r="F119" s="118"/>
      <c r="G119" s="118">
        <f t="shared" si="5"/>
        <v>296</v>
      </c>
    </row>
    <row r="120" spans="1:7" s="119" customFormat="1" ht="14.25">
      <c r="A120" s="115">
        <f t="shared" si="4"/>
        <v>64</v>
      </c>
      <c r="B120" s="116"/>
      <c r="C120" s="115"/>
      <c r="D120" s="117"/>
      <c r="E120" s="118"/>
      <c r="F120" s="118"/>
      <c r="G120" s="118">
        <f t="shared" si="5"/>
        <v>296</v>
      </c>
    </row>
    <row r="121" spans="1:7" s="119" customFormat="1" ht="14.25">
      <c r="A121" s="115">
        <f t="shared" si="4"/>
        <v>65</v>
      </c>
      <c r="B121" s="116"/>
      <c r="C121" s="115"/>
      <c r="D121" s="117"/>
      <c r="E121" s="118"/>
      <c r="F121" s="118"/>
      <c r="G121" s="118">
        <f t="shared" si="5"/>
        <v>296</v>
      </c>
    </row>
    <row r="122" spans="1:7" s="119" customFormat="1" ht="14.25">
      <c r="A122" s="115">
        <f t="shared" si="4"/>
        <v>66</v>
      </c>
      <c r="B122" s="116"/>
      <c r="C122" s="115"/>
      <c r="D122" s="117"/>
      <c r="E122" s="118"/>
      <c r="F122" s="118"/>
      <c r="G122" s="118">
        <f t="shared" si="5"/>
        <v>296</v>
      </c>
    </row>
    <row r="123" spans="1:7" s="119" customFormat="1" ht="14.25">
      <c r="A123" s="115">
        <f t="shared" si="4"/>
        <v>67</v>
      </c>
      <c r="B123" s="116"/>
      <c r="C123" s="115"/>
      <c r="D123" s="117"/>
      <c r="E123" s="118"/>
      <c r="F123" s="118"/>
      <c r="G123" s="118">
        <f t="shared" si="5"/>
        <v>296</v>
      </c>
    </row>
    <row r="124" spans="1:7" s="119" customFormat="1" ht="14.25">
      <c r="A124" s="115">
        <f t="shared" si="4"/>
        <v>68</v>
      </c>
      <c r="B124" s="116"/>
      <c r="C124" s="115"/>
      <c r="D124" s="117"/>
      <c r="E124" s="118"/>
      <c r="F124" s="118"/>
      <c r="G124" s="118">
        <f t="shared" si="5"/>
        <v>296</v>
      </c>
    </row>
    <row r="125" spans="1:7" s="119" customFormat="1" ht="14.25">
      <c r="A125" s="115">
        <f t="shared" si="4"/>
        <v>69</v>
      </c>
      <c r="B125" s="116"/>
      <c r="C125" s="115"/>
      <c r="D125" s="117"/>
      <c r="E125" s="118"/>
      <c r="F125" s="118"/>
      <c r="G125" s="118">
        <f t="shared" si="5"/>
        <v>296</v>
      </c>
    </row>
    <row r="126" spans="1:7" s="119" customFormat="1" ht="14.25">
      <c r="A126" s="115">
        <f t="shared" si="4"/>
        <v>70</v>
      </c>
      <c r="B126" s="116"/>
      <c r="C126" s="115"/>
      <c r="D126" s="117"/>
      <c r="E126" s="118"/>
      <c r="F126" s="118"/>
      <c r="G126" s="118">
        <f t="shared" si="5"/>
        <v>296</v>
      </c>
    </row>
    <row r="127" spans="1:7" s="119" customFormat="1" ht="14.25">
      <c r="A127" s="115">
        <f t="shared" si="4"/>
        <v>71</v>
      </c>
      <c r="B127" s="116"/>
      <c r="C127" s="115"/>
      <c r="D127" s="117"/>
      <c r="E127" s="118"/>
      <c r="F127" s="118"/>
      <c r="G127" s="118">
        <f t="shared" si="5"/>
        <v>296</v>
      </c>
    </row>
    <row r="128" spans="1:7" s="119" customFormat="1" ht="14.25">
      <c r="A128" s="115">
        <f t="shared" si="4"/>
        <v>72</v>
      </c>
      <c r="B128" s="116"/>
      <c r="C128" s="115"/>
      <c r="D128" s="117"/>
      <c r="E128" s="118"/>
      <c r="F128" s="118"/>
      <c r="G128" s="118">
        <f t="shared" si="5"/>
        <v>296</v>
      </c>
    </row>
    <row r="129" spans="1:7" s="119" customFormat="1" ht="14.25">
      <c r="A129" s="115">
        <f t="shared" si="4"/>
        <v>73</v>
      </c>
      <c r="B129" s="116"/>
      <c r="C129" s="115"/>
      <c r="D129" s="117"/>
      <c r="E129" s="118"/>
      <c r="F129" s="118"/>
      <c r="G129" s="118">
        <f t="shared" si="5"/>
        <v>296</v>
      </c>
    </row>
    <row r="130" spans="1:7" s="119" customFormat="1" ht="14.25">
      <c r="A130" s="115">
        <f t="shared" si="4"/>
        <v>74</v>
      </c>
      <c r="B130" s="116"/>
      <c r="C130" s="115"/>
      <c r="D130" s="117"/>
      <c r="E130" s="118"/>
      <c r="F130" s="118"/>
      <c r="G130" s="118">
        <f t="shared" si="5"/>
        <v>296</v>
      </c>
    </row>
    <row r="131" spans="1:7" s="119" customFormat="1" ht="14.25">
      <c r="A131" s="115">
        <f t="shared" si="4"/>
        <v>75</v>
      </c>
      <c r="B131" s="116"/>
      <c r="C131" s="115"/>
      <c r="D131" s="117"/>
      <c r="E131" s="118"/>
      <c r="F131" s="118"/>
      <c r="G131" s="118">
        <f t="shared" si="5"/>
        <v>296</v>
      </c>
    </row>
    <row r="132" spans="1:7" s="119" customFormat="1" ht="14.25">
      <c r="A132" s="115">
        <f t="shared" si="4"/>
        <v>76</v>
      </c>
      <c r="B132" s="116"/>
      <c r="C132" s="115"/>
      <c r="D132" s="117"/>
      <c r="E132" s="118"/>
      <c r="F132" s="118"/>
      <c r="G132" s="118">
        <f t="shared" si="5"/>
        <v>296</v>
      </c>
    </row>
    <row r="133" spans="1:7" s="119" customFormat="1" ht="14.25">
      <c r="A133" s="115">
        <f t="shared" si="4"/>
        <v>77</v>
      </c>
      <c r="B133" s="116"/>
      <c r="C133" s="115"/>
      <c r="D133" s="117"/>
      <c r="E133" s="118"/>
      <c r="F133" s="118"/>
      <c r="G133" s="118">
        <f t="shared" si="5"/>
        <v>296</v>
      </c>
    </row>
    <row r="134" spans="1:7" s="119" customFormat="1" ht="14.25">
      <c r="A134" s="115">
        <f t="shared" si="4"/>
        <v>78</v>
      </c>
      <c r="B134" s="116"/>
      <c r="C134" s="115"/>
      <c r="D134" s="117"/>
      <c r="E134" s="118"/>
      <c r="F134" s="118"/>
      <c r="G134" s="118">
        <f t="shared" si="5"/>
        <v>296</v>
      </c>
    </row>
    <row r="135" spans="1:7" s="119" customFormat="1" ht="14.25">
      <c r="A135" s="115">
        <f t="shared" si="4"/>
        <v>79</v>
      </c>
      <c r="B135" s="116"/>
      <c r="C135" s="115"/>
      <c r="D135" s="117"/>
      <c r="E135" s="118"/>
      <c r="F135" s="118"/>
      <c r="G135" s="118">
        <f t="shared" si="5"/>
        <v>296</v>
      </c>
    </row>
    <row r="136" spans="1:7" s="119" customFormat="1" ht="14.25">
      <c r="A136" s="115">
        <f t="shared" si="4"/>
        <v>80</v>
      </c>
      <c r="B136" s="116"/>
      <c r="C136" s="115"/>
      <c r="D136" s="117"/>
      <c r="E136" s="118"/>
      <c r="F136" s="118"/>
      <c r="G136" s="118">
        <f t="shared" si="5"/>
        <v>296</v>
      </c>
    </row>
    <row r="137" spans="1:7" s="124" customFormat="1" ht="14.25">
      <c r="A137" s="120"/>
      <c r="B137" s="121"/>
      <c r="C137" s="120"/>
      <c r="D137" s="122"/>
      <c r="E137" s="123"/>
      <c r="F137" s="123"/>
      <c r="G137" s="123"/>
    </row>
    <row r="139" spans="1:4" ht="14.25">
      <c r="A139" s="125" t="s">
        <v>67</v>
      </c>
      <c r="B139" s="126">
        <f>B93+1</f>
        <v>3.2001999999999997</v>
      </c>
      <c r="C139" s="127"/>
      <c r="D139" s="128" t="str">
        <f>D93</f>
        <v>Name, Vorname / Konto Nr.</v>
      </c>
    </row>
    <row r="140" spans="1:7" ht="15" thickBot="1">
      <c r="A140" s="106" t="s">
        <v>69</v>
      </c>
      <c r="B140" s="106" t="s">
        <v>70</v>
      </c>
      <c r="C140" s="106" t="s">
        <v>71</v>
      </c>
      <c r="D140" s="107" t="s">
        <v>72</v>
      </c>
      <c r="E140" s="108" t="s">
        <v>73</v>
      </c>
      <c r="F140" s="108" t="s">
        <v>74</v>
      </c>
      <c r="G140" s="108" t="s">
        <v>75</v>
      </c>
    </row>
    <row r="141" spans="1:7" s="133" customFormat="1" ht="14.25">
      <c r="A141" s="129"/>
      <c r="B141" s="130"/>
      <c r="C141" s="129"/>
      <c r="D141" s="131"/>
      <c r="E141" s="132"/>
      <c r="F141" s="132"/>
      <c r="G141" s="132"/>
    </row>
    <row r="142" spans="1:7" s="119" customFormat="1" ht="14.25">
      <c r="A142" s="115">
        <f>A136</f>
        <v>80</v>
      </c>
      <c r="B142" s="134">
        <f>IF(B136&lt;&gt;"",B136,"")</f>
      </c>
      <c r="C142" s="134">
        <f>IF(C136&lt;&gt;"",C136,"")</f>
      </c>
      <c r="D142" s="135" t="s">
        <v>79</v>
      </c>
      <c r="E142" s="118"/>
      <c r="F142" s="118"/>
      <c r="G142" s="118">
        <f>G136</f>
        <v>296</v>
      </c>
    </row>
    <row r="143" spans="1:7" s="119" customFormat="1" ht="14.25">
      <c r="A143" s="115">
        <f aca="true" t="shared" si="6" ref="A143:A182">A142+1</f>
        <v>81</v>
      </c>
      <c r="B143" s="116"/>
      <c r="C143" s="115"/>
      <c r="D143" s="117"/>
      <c r="E143" s="118"/>
      <c r="F143" s="118"/>
      <c r="G143" s="118">
        <f aca="true" t="shared" si="7" ref="G143:G182">G142+F143-E143</f>
        <v>296</v>
      </c>
    </row>
    <row r="144" spans="1:7" s="119" customFormat="1" ht="14.25">
      <c r="A144" s="115">
        <f t="shared" si="6"/>
        <v>82</v>
      </c>
      <c r="B144" s="116"/>
      <c r="C144" s="115"/>
      <c r="D144" s="117"/>
      <c r="E144" s="118"/>
      <c r="F144" s="118"/>
      <c r="G144" s="118">
        <f t="shared" si="7"/>
        <v>296</v>
      </c>
    </row>
    <row r="145" spans="1:7" s="119" customFormat="1" ht="14.25">
      <c r="A145" s="115">
        <f t="shared" si="6"/>
        <v>83</v>
      </c>
      <c r="B145" s="116"/>
      <c r="C145" s="115"/>
      <c r="D145" s="117"/>
      <c r="E145" s="118"/>
      <c r="F145" s="118"/>
      <c r="G145" s="118">
        <f t="shared" si="7"/>
        <v>296</v>
      </c>
    </row>
    <row r="146" spans="1:7" s="119" customFormat="1" ht="14.25">
      <c r="A146" s="115">
        <f t="shared" si="6"/>
        <v>84</v>
      </c>
      <c r="B146" s="116"/>
      <c r="C146" s="115"/>
      <c r="D146" s="117"/>
      <c r="E146" s="118"/>
      <c r="F146" s="118"/>
      <c r="G146" s="118">
        <f t="shared" si="7"/>
        <v>296</v>
      </c>
    </row>
    <row r="147" spans="1:7" s="119" customFormat="1" ht="14.25">
      <c r="A147" s="115">
        <f t="shared" si="6"/>
        <v>85</v>
      </c>
      <c r="B147" s="116"/>
      <c r="C147" s="115"/>
      <c r="D147" s="117"/>
      <c r="E147" s="118"/>
      <c r="F147" s="118"/>
      <c r="G147" s="118">
        <f t="shared" si="7"/>
        <v>296</v>
      </c>
    </row>
    <row r="148" spans="1:7" s="119" customFormat="1" ht="14.25">
      <c r="A148" s="115">
        <f t="shared" si="6"/>
        <v>86</v>
      </c>
      <c r="B148" s="116"/>
      <c r="C148" s="115"/>
      <c r="D148" s="117"/>
      <c r="E148" s="118"/>
      <c r="F148" s="118"/>
      <c r="G148" s="118">
        <f t="shared" si="7"/>
        <v>296</v>
      </c>
    </row>
    <row r="149" spans="1:7" s="119" customFormat="1" ht="14.25">
      <c r="A149" s="115">
        <f t="shared" si="6"/>
        <v>87</v>
      </c>
      <c r="B149" s="116"/>
      <c r="C149" s="115"/>
      <c r="D149" s="117"/>
      <c r="E149" s="118"/>
      <c r="F149" s="118"/>
      <c r="G149" s="118">
        <f t="shared" si="7"/>
        <v>296</v>
      </c>
    </row>
    <row r="150" spans="1:7" s="119" customFormat="1" ht="14.25">
      <c r="A150" s="115">
        <f t="shared" si="6"/>
        <v>88</v>
      </c>
      <c r="B150" s="116"/>
      <c r="C150" s="115"/>
      <c r="D150" s="117"/>
      <c r="E150" s="118"/>
      <c r="F150" s="118"/>
      <c r="G150" s="118">
        <f t="shared" si="7"/>
        <v>296</v>
      </c>
    </row>
    <row r="151" spans="1:7" s="119" customFormat="1" ht="14.25">
      <c r="A151" s="115">
        <f t="shared" si="6"/>
        <v>89</v>
      </c>
      <c r="B151" s="116"/>
      <c r="C151" s="115"/>
      <c r="D151" s="117"/>
      <c r="E151" s="118"/>
      <c r="F151" s="118"/>
      <c r="G151" s="118">
        <f t="shared" si="7"/>
        <v>296</v>
      </c>
    </row>
    <row r="152" spans="1:7" s="119" customFormat="1" ht="14.25">
      <c r="A152" s="115">
        <f t="shared" si="6"/>
        <v>90</v>
      </c>
      <c r="B152" s="116"/>
      <c r="C152" s="115"/>
      <c r="D152" s="117"/>
      <c r="E152" s="118"/>
      <c r="F152" s="118"/>
      <c r="G152" s="118">
        <f t="shared" si="7"/>
        <v>296</v>
      </c>
    </row>
    <row r="153" spans="1:7" s="119" customFormat="1" ht="14.25">
      <c r="A153" s="115">
        <f t="shared" si="6"/>
        <v>91</v>
      </c>
      <c r="B153" s="116"/>
      <c r="C153" s="115"/>
      <c r="D153" s="117"/>
      <c r="E153" s="118"/>
      <c r="F153" s="118"/>
      <c r="G153" s="118">
        <f t="shared" si="7"/>
        <v>296</v>
      </c>
    </row>
    <row r="154" spans="1:7" s="119" customFormat="1" ht="14.25">
      <c r="A154" s="115">
        <f t="shared" si="6"/>
        <v>92</v>
      </c>
      <c r="B154" s="116"/>
      <c r="C154" s="115"/>
      <c r="D154" s="117"/>
      <c r="E154" s="118"/>
      <c r="F154" s="118"/>
      <c r="G154" s="118">
        <f t="shared" si="7"/>
        <v>296</v>
      </c>
    </row>
    <row r="155" spans="1:7" s="119" customFormat="1" ht="14.25">
      <c r="A155" s="115">
        <f t="shared" si="6"/>
        <v>93</v>
      </c>
      <c r="B155" s="116"/>
      <c r="C155" s="115"/>
      <c r="D155" s="117"/>
      <c r="E155" s="118"/>
      <c r="F155" s="118"/>
      <c r="G155" s="118">
        <f t="shared" si="7"/>
        <v>296</v>
      </c>
    </row>
    <row r="156" spans="1:7" s="119" customFormat="1" ht="14.25">
      <c r="A156" s="115">
        <f t="shared" si="6"/>
        <v>94</v>
      </c>
      <c r="B156" s="116"/>
      <c r="C156" s="115"/>
      <c r="D156" s="117"/>
      <c r="E156" s="118"/>
      <c r="F156" s="118"/>
      <c r="G156" s="118">
        <f t="shared" si="7"/>
        <v>296</v>
      </c>
    </row>
    <row r="157" spans="1:7" s="119" customFormat="1" ht="14.25">
      <c r="A157" s="115">
        <f t="shared" si="6"/>
        <v>95</v>
      </c>
      <c r="B157" s="116"/>
      <c r="C157" s="115"/>
      <c r="D157" s="117"/>
      <c r="E157" s="118"/>
      <c r="F157" s="118"/>
      <c r="G157" s="118">
        <f t="shared" si="7"/>
        <v>296</v>
      </c>
    </row>
    <row r="158" spans="1:7" s="119" customFormat="1" ht="14.25">
      <c r="A158" s="115">
        <f t="shared" si="6"/>
        <v>96</v>
      </c>
      <c r="B158" s="116"/>
      <c r="C158" s="115"/>
      <c r="D158" s="117"/>
      <c r="E158" s="118"/>
      <c r="F158" s="118"/>
      <c r="G158" s="118">
        <f t="shared" si="7"/>
        <v>296</v>
      </c>
    </row>
    <row r="159" spans="1:7" s="119" customFormat="1" ht="14.25">
      <c r="A159" s="115">
        <f t="shared" si="6"/>
        <v>97</v>
      </c>
      <c r="B159" s="116"/>
      <c r="C159" s="115"/>
      <c r="D159" s="117"/>
      <c r="E159" s="118"/>
      <c r="F159" s="118"/>
      <c r="G159" s="118">
        <f t="shared" si="7"/>
        <v>296</v>
      </c>
    </row>
    <row r="160" spans="1:7" s="119" customFormat="1" ht="14.25">
      <c r="A160" s="115">
        <f t="shared" si="6"/>
        <v>98</v>
      </c>
      <c r="B160" s="116"/>
      <c r="C160" s="115"/>
      <c r="D160" s="117"/>
      <c r="E160" s="118"/>
      <c r="F160" s="118"/>
      <c r="G160" s="118">
        <f t="shared" si="7"/>
        <v>296</v>
      </c>
    </row>
    <row r="161" spans="1:7" s="119" customFormat="1" ht="14.25">
      <c r="A161" s="115">
        <f t="shared" si="6"/>
        <v>99</v>
      </c>
      <c r="B161" s="116"/>
      <c r="C161" s="115"/>
      <c r="D161" s="117"/>
      <c r="E161" s="118"/>
      <c r="F161" s="118"/>
      <c r="G161" s="118">
        <f t="shared" si="7"/>
        <v>296</v>
      </c>
    </row>
    <row r="162" spans="1:7" s="119" customFormat="1" ht="14.25">
      <c r="A162" s="115">
        <f t="shared" si="6"/>
        <v>100</v>
      </c>
      <c r="B162" s="116"/>
      <c r="C162" s="115"/>
      <c r="D162" s="117"/>
      <c r="E162" s="118"/>
      <c r="F162" s="118"/>
      <c r="G162" s="118">
        <f t="shared" si="7"/>
        <v>296</v>
      </c>
    </row>
    <row r="163" spans="1:7" s="119" customFormat="1" ht="14.25">
      <c r="A163" s="115">
        <f t="shared" si="6"/>
        <v>101</v>
      </c>
      <c r="B163" s="116"/>
      <c r="C163" s="115"/>
      <c r="D163" s="117"/>
      <c r="E163" s="118"/>
      <c r="F163" s="118"/>
      <c r="G163" s="118">
        <f t="shared" si="7"/>
        <v>296</v>
      </c>
    </row>
    <row r="164" spans="1:7" s="119" customFormat="1" ht="14.25">
      <c r="A164" s="115">
        <f t="shared" si="6"/>
        <v>102</v>
      </c>
      <c r="B164" s="116"/>
      <c r="C164" s="115"/>
      <c r="D164" s="117"/>
      <c r="E164" s="118"/>
      <c r="F164" s="118"/>
      <c r="G164" s="118">
        <f t="shared" si="7"/>
        <v>296</v>
      </c>
    </row>
    <row r="165" spans="1:7" s="119" customFormat="1" ht="14.25">
      <c r="A165" s="115">
        <f t="shared" si="6"/>
        <v>103</v>
      </c>
      <c r="B165" s="116"/>
      <c r="C165" s="115"/>
      <c r="D165" s="117"/>
      <c r="E165" s="118"/>
      <c r="F165" s="118"/>
      <c r="G165" s="118">
        <f t="shared" si="7"/>
        <v>296</v>
      </c>
    </row>
    <row r="166" spans="1:7" s="119" customFormat="1" ht="14.25">
      <c r="A166" s="115">
        <f t="shared" si="6"/>
        <v>104</v>
      </c>
      <c r="B166" s="116"/>
      <c r="C166" s="115"/>
      <c r="D166" s="117"/>
      <c r="E166" s="118"/>
      <c r="F166" s="118"/>
      <c r="G166" s="118">
        <f t="shared" si="7"/>
        <v>296</v>
      </c>
    </row>
    <row r="167" spans="1:7" s="119" customFormat="1" ht="14.25">
      <c r="A167" s="115">
        <f t="shared" si="6"/>
        <v>105</v>
      </c>
      <c r="B167" s="116"/>
      <c r="C167" s="115"/>
      <c r="D167" s="117"/>
      <c r="E167" s="118"/>
      <c r="F167" s="118"/>
      <c r="G167" s="118">
        <f t="shared" si="7"/>
        <v>296</v>
      </c>
    </row>
    <row r="168" spans="1:7" s="119" customFormat="1" ht="14.25">
      <c r="A168" s="115">
        <f t="shared" si="6"/>
        <v>106</v>
      </c>
      <c r="B168" s="116"/>
      <c r="C168" s="115"/>
      <c r="D168" s="117"/>
      <c r="E168" s="118"/>
      <c r="F168" s="118"/>
      <c r="G168" s="118">
        <f t="shared" si="7"/>
        <v>296</v>
      </c>
    </row>
    <row r="169" spans="1:7" s="119" customFormat="1" ht="14.25">
      <c r="A169" s="115">
        <f t="shared" si="6"/>
        <v>107</v>
      </c>
      <c r="B169" s="116"/>
      <c r="C169" s="115"/>
      <c r="D169" s="117"/>
      <c r="E169" s="118"/>
      <c r="F169" s="118"/>
      <c r="G169" s="118">
        <f t="shared" si="7"/>
        <v>296</v>
      </c>
    </row>
    <row r="170" spans="1:7" s="119" customFormat="1" ht="14.25">
      <c r="A170" s="115">
        <f t="shared" si="6"/>
        <v>108</v>
      </c>
      <c r="B170" s="116"/>
      <c r="C170" s="115"/>
      <c r="D170" s="117"/>
      <c r="E170" s="118"/>
      <c r="F170" s="118"/>
      <c r="G170" s="118">
        <f t="shared" si="7"/>
        <v>296</v>
      </c>
    </row>
    <row r="171" spans="1:7" s="119" customFormat="1" ht="14.25">
      <c r="A171" s="115">
        <f t="shared" si="6"/>
        <v>109</v>
      </c>
      <c r="B171" s="116"/>
      <c r="C171" s="115"/>
      <c r="D171" s="117"/>
      <c r="E171" s="118"/>
      <c r="F171" s="118"/>
      <c r="G171" s="118">
        <f t="shared" si="7"/>
        <v>296</v>
      </c>
    </row>
    <row r="172" spans="1:7" s="119" customFormat="1" ht="14.25">
      <c r="A172" s="115">
        <f t="shared" si="6"/>
        <v>110</v>
      </c>
      <c r="B172" s="116"/>
      <c r="C172" s="115"/>
      <c r="D172" s="117"/>
      <c r="E172" s="118"/>
      <c r="F172" s="118"/>
      <c r="G172" s="118">
        <f t="shared" si="7"/>
        <v>296</v>
      </c>
    </row>
    <row r="173" spans="1:7" s="119" customFormat="1" ht="14.25">
      <c r="A173" s="115">
        <f t="shared" si="6"/>
        <v>111</v>
      </c>
      <c r="B173" s="116"/>
      <c r="C173" s="115"/>
      <c r="D173" s="117"/>
      <c r="E173" s="118"/>
      <c r="F173" s="118"/>
      <c r="G173" s="118">
        <f t="shared" si="7"/>
        <v>296</v>
      </c>
    </row>
    <row r="174" spans="1:7" s="119" customFormat="1" ht="14.25">
      <c r="A174" s="115">
        <f t="shared" si="6"/>
        <v>112</v>
      </c>
      <c r="B174" s="116"/>
      <c r="C174" s="115"/>
      <c r="D174" s="117"/>
      <c r="E174" s="118"/>
      <c r="F174" s="118"/>
      <c r="G174" s="118">
        <f t="shared" si="7"/>
        <v>296</v>
      </c>
    </row>
    <row r="175" spans="1:7" s="119" customFormat="1" ht="14.25">
      <c r="A175" s="115">
        <f t="shared" si="6"/>
        <v>113</v>
      </c>
      <c r="B175" s="116"/>
      <c r="C175" s="115"/>
      <c r="D175" s="117"/>
      <c r="E175" s="118"/>
      <c r="F175" s="118"/>
      <c r="G175" s="118">
        <f t="shared" si="7"/>
        <v>296</v>
      </c>
    </row>
    <row r="176" spans="1:7" s="119" customFormat="1" ht="14.25">
      <c r="A176" s="115">
        <f t="shared" si="6"/>
        <v>114</v>
      </c>
      <c r="B176" s="116"/>
      <c r="C176" s="115"/>
      <c r="D176" s="117"/>
      <c r="E176" s="118"/>
      <c r="F176" s="118"/>
      <c r="G176" s="118">
        <f t="shared" si="7"/>
        <v>296</v>
      </c>
    </row>
    <row r="177" spans="1:7" s="119" customFormat="1" ht="14.25">
      <c r="A177" s="115">
        <f t="shared" si="6"/>
        <v>115</v>
      </c>
      <c r="B177" s="116"/>
      <c r="C177" s="115"/>
      <c r="D177" s="117"/>
      <c r="E177" s="118"/>
      <c r="F177" s="118"/>
      <c r="G177" s="118">
        <f t="shared" si="7"/>
        <v>296</v>
      </c>
    </row>
    <row r="178" spans="1:7" s="119" customFormat="1" ht="14.25">
      <c r="A178" s="115">
        <f t="shared" si="6"/>
        <v>116</v>
      </c>
      <c r="B178" s="116"/>
      <c r="C178" s="115"/>
      <c r="D178" s="117"/>
      <c r="E178" s="118"/>
      <c r="F178" s="118"/>
      <c r="G178" s="118">
        <f t="shared" si="7"/>
        <v>296</v>
      </c>
    </row>
    <row r="179" spans="1:7" s="119" customFormat="1" ht="14.25">
      <c r="A179" s="115">
        <f t="shared" si="6"/>
        <v>117</v>
      </c>
      <c r="B179" s="116"/>
      <c r="C179" s="115"/>
      <c r="D179" s="117"/>
      <c r="E179" s="118"/>
      <c r="F179" s="118"/>
      <c r="G179" s="118">
        <f t="shared" si="7"/>
        <v>296</v>
      </c>
    </row>
    <row r="180" spans="1:7" s="119" customFormat="1" ht="14.25">
      <c r="A180" s="115">
        <f t="shared" si="6"/>
        <v>118</v>
      </c>
      <c r="B180" s="116"/>
      <c r="C180" s="115"/>
      <c r="D180" s="117"/>
      <c r="E180" s="118"/>
      <c r="F180" s="118"/>
      <c r="G180" s="118">
        <f t="shared" si="7"/>
        <v>296</v>
      </c>
    </row>
    <row r="181" spans="1:7" s="119" customFormat="1" ht="14.25">
      <c r="A181" s="115">
        <f t="shared" si="6"/>
        <v>119</v>
      </c>
      <c r="B181" s="116"/>
      <c r="C181" s="115"/>
      <c r="D181" s="117"/>
      <c r="E181" s="118"/>
      <c r="F181" s="118"/>
      <c r="G181" s="118">
        <f t="shared" si="7"/>
        <v>296</v>
      </c>
    </row>
    <row r="182" spans="1:7" s="119" customFormat="1" ht="14.25">
      <c r="A182" s="115">
        <f t="shared" si="6"/>
        <v>120</v>
      </c>
      <c r="B182" s="116"/>
      <c r="C182" s="115"/>
      <c r="D182" s="117"/>
      <c r="E182" s="118"/>
      <c r="F182" s="118"/>
      <c r="G182" s="118">
        <f t="shared" si="7"/>
        <v>296</v>
      </c>
    </row>
    <row r="183" spans="1:7" s="124" customFormat="1" ht="14.25">
      <c r="A183" s="120"/>
      <c r="B183" s="121"/>
      <c r="C183" s="120"/>
      <c r="D183" s="122"/>
      <c r="E183" s="123"/>
      <c r="F183" s="123"/>
      <c r="G183" s="123"/>
    </row>
    <row r="185" spans="1:4" ht="14.25">
      <c r="A185" s="125" t="s">
        <v>67</v>
      </c>
      <c r="B185" s="126">
        <f>B139+1</f>
        <v>4.2002</v>
      </c>
      <c r="C185" s="127"/>
      <c r="D185" s="128" t="str">
        <f>D139</f>
        <v>Name, Vorname / Konto Nr.</v>
      </c>
    </row>
    <row r="186" spans="1:7" ht="15" thickBot="1">
      <c r="A186" s="106" t="s">
        <v>69</v>
      </c>
      <c r="B186" s="106" t="s">
        <v>70</v>
      </c>
      <c r="C186" s="106" t="s">
        <v>71</v>
      </c>
      <c r="D186" s="107" t="s">
        <v>72</v>
      </c>
      <c r="E186" s="108" t="s">
        <v>73</v>
      </c>
      <c r="F186" s="108" t="s">
        <v>74</v>
      </c>
      <c r="G186" s="108" t="s">
        <v>75</v>
      </c>
    </row>
    <row r="187" spans="1:7" s="133" customFormat="1" ht="14.25">
      <c r="A187" s="129"/>
      <c r="B187" s="130"/>
      <c r="C187" s="129"/>
      <c r="D187" s="131"/>
      <c r="E187" s="132"/>
      <c r="F187" s="132"/>
      <c r="G187" s="132"/>
    </row>
    <row r="188" spans="1:7" s="119" customFormat="1" ht="14.25">
      <c r="A188" s="115">
        <f>A182</f>
        <v>120</v>
      </c>
      <c r="B188" s="134">
        <f>IF(B182&lt;&gt;"",B182,"")</f>
      </c>
      <c r="C188" s="134">
        <f>IF(C182&lt;&gt;"",C182,"")</f>
      </c>
      <c r="D188" s="135" t="s">
        <v>80</v>
      </c>
      <c r="E188" s="118"/>
      <c r="F188" s="118"/>
      <c r="G188" s="118">
        <f>G182</f>
        <v>296</v>
      </c>
    </row>
    <row r="189" spans="1:7" s="119" customFormat="1" ht="14.25">
      <c r="A189" s="115">
        <f aca="true" t="shared" si="8" ref="A189:A228">A188+1</f>
        <v>121</v>
      </c>
      <c r="B189" s="116"/>
      <c r="C189" s="115"/>
      <c r="D189" s="117"/>
      <c r="E189" s="118"/>
      <c r="F189" s="118"/>
      <c r="G189" s="118">
        <f aca="true" t="shared" si="9" ref="G189:G228">G188+F189-E189</f>
        <v>296</v>
      </c>
    </row>
    <row r="190" spans="1:7" s="119" customFormat="1" ht="14.25">
      <c r="A190" s="115">
        <f t="shared" si="8"/>
        <v>122</v>
      </c>
      <c r="B190" s="116"/>
      <c r="C190" s="115"/>
      <c r="D190" s="117"/>
      <c r="E190" s="118"/>
      <c r="F190" s="118"/>
      <c r="G190" s="118">
        <f t="shared" si="9"/>
        <v>296</v>
      </c>
    </row>
    <row r="191" spans="1:7" s="119" customFormat="1" ht="14.25">
      <c r="A191" s="115">
        <f t="shared" si="8"/>
        <v>123</v>
      </c>
      <c r="B191" s="116"/>
      <c r="C191" s="115"/>
      <c r="D191" s="117"/>
      <c r="E191" s="118"/>
      <c r="F191" s="118"/>
      <c r="G191" s="118">
        <f t="shared" si="9"/>
        <v>296</v>
      </c>
    </row>
    <row r="192" spans="1:7" s="119" customFormat="1" ht="14.25">
      <c r="A192" s="115">
        <f t="shared" si="8"/>
        <v>124</v>
      </c>
      <c r="B192" s="116"/>
      <c r="C192" s="115"/>
      <c r="D192" s="117"/>
      <c r="E192" s="118"/>
      <c r="F192" s="118"/>
      <c r="G192" s="118">
        <f t="shared" si="9"/>
        <v>296</v>
      </c>
    </row>
    <row r="193" spans="1:7" s="119" customFormat="1" ht="14.25">
      <c r="A193" s="115">
        <f t="shared" si="8"/>
        <v>125</v>
      </c>
      <c r="B193" s="116"/>
      <c r="C193" s="115"/>
      <c r="D193" s="117"/>
      <c r="E193" s="118"/>
      <c r="F193" s="118"/>
      <c r="G193" s="118">
        <f t="shared" si="9"/>
        <v>296</v>
      </c>
    </row>
    <row r="194" spans="1:7" s="119" customFormat="1" ht="14.25">
      <c r="A194" s="115">
        <f t="shared" si="8"/>
        <v>126</v>
      </c>
      <c r="B194" s="116"/>
      <c r="C194" s="115"/>
      <c r="D194" s="117"/>
      <c r="E194" s="118"/>
      <c r="F194" s="118"/>
      <c r="G194" s="118">
        <f t="shared" si="9"/>
        <v>296</v>
      </c>
    </row>
    <row r="195" spans="1:7" s="119" customFormat="1" ht="14.25">
      <c r="A195" s="115">
        <f t="shared" si="8"/>
        <v>127</v>
      </c>
      <c r="B195" s="116"/>
      <c r="C195" s="115"/>
      <c r="D195" s="117"/>
      <c r="E195" s="118"/>
      <c r="F195" s="118"/>
      <c r="G195" s="118">
        <f t="shared" si="9"/>
        <v>296</v>
      </c>
    </row>
    <row r="196" spans="1:7" s="119" customFormat="1" ht="14.25">
      <c r="A196" s="115">
        <f t="shared" si="8"/>
        <v>128</v>
      </c>
      <c r="B196" s="116"/>
      <c r="C196" s="115"/>
      <c r="D196" s="117"/>
      <c r="E196" s="118"/>
      <c r="F196" s="118"/>
      <c r="G196" s="118">
        <f t="shared" si="9"/>
        <v>296</v>
      </c>
    </row>
    <row r="197" spans="1:7" s="119" customFormat="1" ht="14.25">
      <c r="A197" s="115">
        <f t="shared" si="8"/>
        <v>129</v>
      </c>
      <c r="B197" s="116"/>
      <c r="C197" s="115"/>
      <c r="D197" s="117"/>
      <c r="E197" s="118"/>
      <c r="F197" s="118"/>
      <c r="G197" s="118">
        <f t="shared" si="9"/>
        <v>296</v>
      </c>
    </row>
    <row r="198" spans="1:7" s="119" customFormat="1" ht="14.25">
      <c r="A198" s="115">
        <f t="shared" si="8"/>
        <v>130</v>
      </c>
      <c r="B198" s="116"/>
      <c r="C198" s="115"/>
      <c r="D198" s="117"/>
      <c r="E198" s="118"/>
      <c r="F198" s="118"/>
      <c r="G198" s="118">
        <f t="shared" si="9"/>
        <v>296</v>
      </c>
    </row>
    <row r="199" spans="1:7" s="119" customFormat="1" ht="14.25">
      <c r="A199" s="115">
        <f t="shared" si="8"/>
        <v>131</v>
      </c>
      <c r="B199" s="116"/>
      <c r="C199" s="115"/>
      <c r="D199" s="117"/>
      <c r="E199" s="118"/>
      <c r="F199" s="118"/>
      <c r="G199" s="118">
        <f t="shared" si="9"/>
        <v>296</v>
      </c>
    </row>
    <row r="200" spans="1:7" s="119" customFormat="1" ht="14.25">
      <c r="A200" s="115">
        <f t="shared" si="8"/>
        <v>132</v>
      </c>
      <c r="B200" s="116"/>
      <c r="C200" s="115"/>
      <c r="D200" s="117"/>
      <c r="E200" s="118"/>
      <c r="F200" s="118"/>
      <c r="G200" s="118">
        <f t="shared" si="9"/>
        <v>296</v>
      </c>
    </row>
    <row r="201" spans="1:7" s="119" customFormat="1" ht="14.25">
      <c r="A201" s="115">
        <f t="shared" si="8"/>
        <v>133</v>
      </c>
      <c r="B201" s="116"/>
      <c r="C201" s="115"/>
      <c r="D201" s="117"/>
      <c r="E201" s="118"/>
      <c r="F201" s="118"/>
      <c r="G201" s="118">
        <f t="shared" si="9"/>
        <v>296</v>
      </c>
    </row>
    <row r="202" spans="1:7" s="119" customFormat="1" ht="14.25">
      <c r="A202" s="115">
        <f t="shared" si="8"/>
        <v>134</v>
      </c>
      <c r="B202" s="116"/>
      <c r="C202" s="115"/>
      <c r="D202" s="117"/>
      <c r="E202" s="118"/>
      <c r="F202" s="118"/>
      <c r="G202" s="118">
        <f t="shared" si="9"/>
        <v>296</v>
      </c>
    </row>
    <row r="203" spans="1:7" s="119" customFormat="1" ht="14.25">
      <c r="A203" s="115">
        <f t="shared" si="8"/>
        <v>135</v>
      </c>
      <c r="B203" s="116"/>
      <c r="C203" s="115"/>
      <c r="D203" s="117"/>
      <c r="E203" s="118"/>
      <c r="F203" s="118"/>
      <c r="G203" s="118">
        <f t="shared" si="9"/>
        <v>296</v>
      </c>
    </row>
    <row r="204" spans="1:7" s="119" customFormat="1" ht="14.25">
      <c r="A204" s="115">
        <f t="shared" si="8"/>
        <v>136</v>
      </c>
      <c r="B204" s="116"/>
      <c r="C204" s="115"/>
      <c r="D204" s="117"/>
      <c r="E204" s="118"/>
      <c r="F204" s="118"/>
      <c r="G204" s="118">
        <f t="shared" si="9"/>
        <v>296</v>
      </c>
    </row>
    <row r="205" spans="1:7" s="119" customFormat="1" ht="14.25">
      <c r="A205" s="115">
        <f t="shared" si="8"/>
        <v>137</v>
      </c>
      <c r="B205" s="116"/>
      <c r="C205" s="115"/>
      <c r="D205" s="117"/>
      <c r="E205" s="118"/>
      <c r="F205" s="118"/>
      <c r="G205" s="118">
        <f t="shared" si="9"/>
        <v>296</v>
      </c>
    </row>
    <row r="206" spans="1:7" s="119" customFormat="1" ht="14.25">
      <c r="A206" s="115">
        <f t="shared" si="8"/>
        <v>138</v>
      </c>
      <c r="B206" s="116"/>
      <c r="C206" s="115"/>
      <c r="D206" s="117"/>
      <c r="E206" s="118"/>
      <c r="F206" s="118"/>
      <c r="G206" s="118">
        <f t="shared" si="9"/>
        <v>296</v>
      </c>
    </row>
    <row r="207" spans="1:7" s="119" customFormat="1" ht="14.25">
      <c r="A207" s="115">
        <f t="shared" si="8"/>
        <v>139</v>
      </c>
      <c r="B207" s="116"/>
      <c r="C207" s="115"/>
      <c r="D207" s="117"/>
      <c r="E207" s="118"/>
      <c r="F207" s="118"/>
      <c r="G207" s="118">
        <f t="shared" si="9"/>
        <v>296</v>
      </c>
    </row>
    <row r="208" spans="1:7" s="119" customFormat="1" ht="14.25">
      <c r="A208" s="115">
        <f t="shared" si="8"/>
        <v>140</v>
      </c>
      <c r="B208" s="116"/>
      <c r="C208" s="115"/>
      <c r="D208" s="117"/>
      <c r="E208" s="118"/>
      <c r="F208" s="118"/>
      <c r="G208" s="118">
        <f t="shared" si="9"/>
        <v>296</v>
      </c>
    </row>
    <row r="209" spans="1:7" s="119" customFormat="1" ht="14.25">
      <c r="A209" s="115">
        <f t="shared" si="8"/>
        <v>141</v>
      </c>
      <c r="B209" s="116"/>
      <c r="C209" s="115"/>
      <c r="D209" s="117"/>
      <c r="E209" s="118"/>
      <c r="F209" s="118"/>
      <c r="G209" s="118">
        <f t="shared" si="9"/>
        <v>296</v>
      </c>
    </row>
    <row r="210" spans="1:7" s="119" customFormat="1" ht="14.25">
      <c r="A210" s="115">
        <f t="shared" si="8"/>
        <v>142</v>
      </c>
      <c r="B210" s="116"/>
      <c r="C210" s="115"/>
      <c r="D210" s="117"/>
      <c r="E210" s="118"/>
      <c r="F210" s="118"/>
      <c r="G210" s="118">
        <f t="shared" si="9"/>
        <v>296</v>
      </c>
    </row>
    <row r="211" spans="1:7" s="119" customFormat="1" ht="14.25">
      <c r="A211" s="115">
        <f t="shared" si="8"/>
        <v>143</v>
      </c>
      <c r="B211" s="116"/>
      <c r="C211" s="115"/>
      <c r="D211" s="117"/>
      <c r="E211" s="118"/>
      <c r="F211" s="118"/>
      <c r="G211" s="118">
        <f t="shared" si="9"/>
        <v>296</v>
      </c>
    </row>
    <row r="212" spans="1:7" s="119" customFormat="1" ht="14.25">
      <c r="A212" s="115">
        <f t="shared" si="8"/>
        <v>144</v>
      </c>
      <c r="B212" s="116"/>
      <c r="C212" s="115"/>
      <c r="D212" s="117"/>
      <c r="E212" s="118"/>
      <c r="F212" s="118"/>
      <c r="G212" s="118">
        <f t="shared" si="9"/>
        <v>296</v>
      </c>
    </row>
    <row r="213" spans="1:7" s="119" customFormat="1" ht="14.25">
      <c r="A213" s="115">
        <f t="shared" si="8"/>
        <v>145</v>
      </c>
      <c r="B213" s="116"/>
      <c r="C213" s="115"/>
      <c r="D213" s="117"/>
      <c r="E213" s="118"/>
      <c r="F213" s="118"/>
      <c r="G213" s="118">
        <f t="shared" si="9"/>
        <v>296</v>
      </c>
    </row>
    <row r="214" spans="1:7" s="119" customFormat="1" ht="14.25">
      <c r="A214" s="115">
        <f t="shared" si="8"/>
        <v>146</v>
      </c>
      <c r="B214" s="116"/>
      <c r="C214" s="115"/>
      <c r="D214" s="117"/>
      <c r="E214" s="118"/>
      <c r="F214" s="118"/>
      <c r="G214" s="118">
        <f t="shared" si="9"/>
        <v>296</v>
      </c>
    </row>
    <row r="215" spans="1:7" s="119" customFormat="1" ht="14.25">
      <c r="A215" s="115">
        <f t="shared" si="8"/>
        <v>147</v>
      </c>
      <c r="B215" s="116"/>
      <c r="C215" s="115"/>
      <c r="D215" s="117"/>
      <c r="E215" s="118"/>
      <c r="F215" s="118"/>
      <c r="G215" s="118">
        <f t="shared" si="9"/>
        <v>296</v>
      </c>
    </row>
    <row r="216" spans="1:7" s="119" customFormat="1" ht="14.25">
      <c r="A216" s="115">
        <f t="shared" si="8"/>
        <v>148</v>
      </c>
      <c r="B216" s="116"/>
      <c r="C216" s="115"/>
      <c r="D216" s="117"/>
      <c r="E216" s="118"/>
      <c r="F216" s="118"/>
      <c r="G216" s="118">
        <f t="shared" si="9"/>
        <v>296</v>
      </c>
    </row>
    <row r="217" spans="1:7" s="119" customFormat="1" ht="14.25">
      <c r="A217" s="115">
        <f t="shared" si="8"/>
        <v>149</v>
      </c>
      <c r="B217" s="116"/>
      <c r="C217" s="115"/>
      <c r="D217" s="117"/>
      <c r="E217" s="118"/>
      <c r="F217" s="118"/>
      <c r="G217" s="118">
        <f t="shared" si="9"/>
        <v>296</v>
      </c>
    </row>
    <row r="218" spans="1:7" s="119" customFormat="1" ht="14.25">
      <c r="A218" s="115">
        <f t="shared" si="8"/>
        <v>150</v>
      </c>
      <c r="B218" s="116"/>
      <c r="C218" s="115"/>
      <c r="D218" s="117"/>
      <c r="E218" s="118"/>
      <c r="F218" s="118"/>
      <c r="G218" s="118">
        <f t="shared" si="9"/>
        <v>296</v>
      </c>
    </row>
    <row r="219" spans="1:7" s="119" customFormat="1" ht="14.25">
      <c r="A219" s="115">
        <f t="shared" si="8"/>
        <v>151</v>
      </c>
      <c r="B219" s="116"/>
      <c r="C219" s="115"/>
      <c r="D219" s="117"/>
      <c r="E219" s="118"/>
      <c r="F219" s="118"/>
      <c r="G219" s="118">
        <f t="shared" si="9"/>
        <v>296</v>
      </c>
    </row>
    <row r="220" spans="1:7" s="119" customFormat="1" ht="14.25">
      <c r="A220" s="115">
        <f t="shared" si="8"/>
        <v>152</v>
      </c>
      <c r="B220" s="116"/>
      <c r="C220" s="115"/>
      <c r="D220" s="117"/>
      <c r="E220" s="118"/>
      <c r="F220" s="118"/>
      <c r="G220" s="118">
        <f t="shared" si="9"/>
        <v>296</v>
      </c>
    </row>
    <row r="221" spans="1:7" s="119" customFormat="1" ht="14.25">
      <c r="A221" s="115">
        <f t="shared" si="8"/>
        <v>153</v>
      </c>
      <c r="B221" s="116"/>
      <c r="C221" s="115"/>
      <c r="D221" s="117"/>
      <c r="E221" s="118"/>
      <c r="F221" s="118"/>
      <c r="G221" s="118">
        <f t="shared" si="9"/>
        <v>296</v>
      </c>
    </row>
    <row r="222" spans="1:7" s="119" customFormat="1" ht="14.25">
      <c r="A222" s="115">
        <f t="shared" si="8"/>
        <v>154</v>
      </c>
      <c r="B222" s="116"/>
      <c r="C222" s="115"/>
      <c r="D222" s="117"/>
      <c r="E222" s="118"/>
      <c r="F222" s="118"/>
      <c r="G222" s="118">
        <f t="shared" si="9"/>
        <v>296</v>
      </c>
    </row>
    <row r="223" spans="1:7" s="119" customFormat="1" ht="14.25">
      <c r="A223" s="115">
        <f t="shared" si="8"/>
        <v>155</v>
      </c>
      <c r="B223" s="116"/>
      <c r="C223" s="115"/>
      <c r="D223" s="117"/>
      <c r="E223" s="118"/>
      <c r="F223" s="118"/>
      <c r="G223" s="118">
        <f t="shared" si="9"/>
        <v>296</v>
      </c>
    </row>
    <row r="224" spans="1:7" s="119" customFormat="1" ht="14.25">
      <c r="A224" s="115">
        <f t="shared" si="8"/>
        <v>156</v>
      </c>
      <c r="B224" s="116"/>
      <c r="C224" s="115"/>
      <c r="D224" s="117"/>
      <c r="E224" s="118"/>
      <c r="F224" s="118"/>
      <c r="G224" s="118">
        <f t="shared" si="9"/>
        <v>296</v>
      </c>
    </row>
    <row r="225" spans="1:7" s="119" customFormat="1" ht="14.25">
      <c r="A225" s="115">
        <f t="shared" si="8"/>
        <v>157</v>
      </c>
      <c r="B225" s="116"/>
      <c r="C225" s="115"/>
      <c r="D225" s="117"/>
      <c r="E225" s="118"/>
      <c r="F225" s="118"/>
      <c r="G225" s="118">
        <f t="shared" si="9"/>
        <v>296</v>
      </c>
    </row>
    <row r="226" spans="1:7" s="119" customFormat="1" ht="14.25">
      <c r="A226" s="115">
        <f t="shared" si="8"/>
        <v>158</v>
      </c>
      <c r="B226" s="116"/>
      <c r="C226" s="115"/>
      <c r="D226" s="117"/>
      <c r="E226" s="118"/>
      <c r="F226" s="118"/>
      <c r="G226" s="118">
        <f t="shared" si="9"/>
        <v>296</v>
      </c>
    </row>
    <row r="227" spans="1:7" s="119" customFormat="1" ht="14.25">
      <c r="A227" s="115">
        <f t="shared" si="8"/>
        <v>159</v>
      </c>
      <c r="B227" s="116"/>
      <c r="C227" s="115"/>
      <c r="D227" s="117"/>
      <c r="E227" s="118"/>
      <c r="F227" s="118"/>
      <c r="G227" s="118">
        <f t="shared" si="9"/>
        <v>296</v>
      </c>
    </row>
    <row r="228" spans="1:7" s="119" customFormat="1" ht="14.25">
      <c r="A228" s="115">
        <f t="shared" si="8"/>
        <v>160</v>
      </c>
      <c r="B228" s="116"/>
      <c r="C228" s="115"/>
      <c r="D228" s="117"/>
      <c r="E228" s="118"/>
      <c r="F228" s="118"/>
      <c r="G228" s="118">
        <f t="shared" si="9"/>
        <v>296</v>
      </c>
    </row>
    <row r="229" spans="1:7" s="124" customFormat="1" ht="14.25">
      <c r="A229" s="120"/>
      <c r="B229" s="121"/>
      <c r="C229" s="120"/>
      <c r="D229" s="122"/>
      <c r="E229" s="123"/>
      <c r="F229" s="123"/>
      <c r="G229" s="123"/>
    </row>
  </sheetData>
  <printOptions/>
  <pageMargins left="0.75" right="0.75" top="1" bottom="1" header="0.4921259845" footer="0.4921259845"/>
  <pageSetup horizontalDpi="300" verticalDpi="300" orientation="portrait" paperSize="9" r:id="rId1"/>
  <rowBreaks count="4" manualBreakCount="4">
    <brk id="46" max="255" man="1"/>
    <brk id="92" max="255" man="1"/>
    <brk id="138" max="255" man="1"/>
    <brk id="1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http://www.1ngo.de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Sozialhilfe Berechnung - Stand Juli 2003</dc:title>
  <dc:subject/>
  <dc:creator>Ingo Turski</dc:creator>
  <cp:keywords/>
  <dc:description>Berechnung der Sozialhilfe (Regelsatz für NRW), Grundsicherung, GEZ-Befreiung, Beratungs- u. Prozeßkostenhilfe, Pfändung nach Tabelle und indiv. Anpassung der Freigrenze // Wohngeldberechnung // integrierte Haushaltsplanung. (Version 10, 17.07.2003)
</dc:description>
  <cp:lastModifiedBy>Ingo Turski</cp:lastModifiedBy>
  <cp:lastPrinted>2002-04-17T08:46:41Z</cp:lastPrinted>
  <dcterms:created xsi:type="dcterms:W3CDTF">2001-07-09T21:38:41Z</dcterms:created>
  <cp:category>Arbeitshilfen für die Sozialberatung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